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ATUAK/My scientific papers/Perucetus size/Palaeontologia Electronica/"/>
    </mc:Choice>
  </mc:AlternateContent>
  <xr:revisionPtr revIDLastSave="0" documentId="13_ncr:1_{9EEF368C-BEEC-F041-8793-A728146C4BB7}" xr6:coauthVersionLast="47" xr6:coauthVersionMax="47" xr10:uidLastSave="{00000000-0000-0000-0000-000000000000}"/>
  <bookViews>
    <workbookView xWindow="4320" yWindow="500" windowWidth="33560" windowHeight="28120" xr2:uid="{783A5B2B-F665-9841-829E-35BBA02EC5F9}"/>
  </bookViews>
  <sheets>
    <sheet name="Basilosauridae propor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4" i="1" l="1"/>
  <c r="E85" i="1"/>
  <c r="E12" i="1"/>
  <c r="H12" i="1" l="1"/>
  <c r="H13" i="1"/>
  <c r="H14" i="1"/>
  <c r="H15" i="1"/>
  <c r="H16" i="1"/>
  <c r="H17" i="1"/>
  <c r="H18" i="1"/>
  <c r="H19" i="1"/>
  <c r="H20" i="1"/>
  <c r="H21" i="1"/>
  <c r="E11" i="1" l="1"/>
  <c r="H11" i="1" s="1"/>
  <c r="H72" i="1" s="1"/>
  <c r="I10" i="1"/>
  <c r="I9" i="1"/>
  <c r="I8" i="1"/>
  <c r="I7" i="1"/>
  <c r="I6" i="1"/>
  <c r="I5" i="1"/>
  <c r="I4" i="1"/>
  <c r="G42" i="1"/>
  <c r="H70" i="1"/>
  <c r="H77" i="1" s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48" i="1"/>
  <c r="H43" i="1"/>
  <c r="H44" i="1"/>
  <c r="H45" i="1"/>
  <c r="H46" i="1" s="1"/>
  <c r="H42" i="1"/>
  <c r="H38" i="1"/>
  <c r="H39" i="1"/>
  <c r="H37" i="1"/>
  <c r="H10" i="1"/>
  <c r="H9" i="1"/>
  <c r="H8" i="1"/>
  <c r="H7" i="1"/>
  <c r="H6" i="1"/>
  <c r="H5" i="1"/>
  <c r="H4" i="1"/>
  <c r="G10" i="1"/>
  <c r="G9" i="1"/>
  <c r="G8" i="1"/>
  <c r="G7" i="1"/>
  <c r="G6" i="1"/>
  <c r="G5" i="1"/>
  <c r="G4" i="1"/>
  <c r="E84" i="1"/>
  <c r="G70" i="1"/>
  <c r="G77" i="1" s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48" i="1"/>
  <c r="G38" i="1"/>
  <c r="G39" i="1"/>
  <c r="G37" i="1"/>
  <c r="G12" i="1"/>
  <c r="G13" i="1"/>
  <c r="G14" i="1"/>
  <c r="G15" i="1"/>
  <c r="G16" i="1"/>
  <c r="G17" i="1"/>
  <c r="G18" i="1"/>
  <c r="G19" i="1"/>
  <c r="G20" i="1"/>
  <c r="G11" i="1"/>
  <c r="D85" i="1"/>
  <c r="D84" i="1"/>
  <c r="C53" i="1"/>
  <c r="C58" i="1"/>
  <c r="I54" i="1"/>
  <c r="I55" i="1"/>
  <c r="I48" i="1"/>
  <c r="I49" i="1"/>
  <c r="I50" i="1"/>
  <c r="I51" i="1"/>
  <c r="I52" i="1"/>
  <c r="I56" i="1"/>
  <c r="I57" i="1"/>
  <c r="I7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37" i="1"/>
  <c r="I38" i="1"/>
  <c r="I39" i="1"/>
  <c r="I42" i="1"/>
  <c r="I43" i="1"/>
  <c r="I44" i="1"/>
  <c r="I45" i="1"/>
  <c r="I46" i="1"/>
  <c r="I47" i="1"/>
  <c r="C70" i="1"/>
  <c r="C71" i="1"/>
  <c r="C72" i="1"/>
  <c r="C73" i="1"/>
  <c r="B70" i="1"/>
  <c r="B71" i="1"/>
  <c r="B72" i="1"/>
  <c r="B73" i="1"/>
  <c r="B74" i="1"/>
  <c r="I77" i="1"/>
  <c r="C77" i="1"/>
  <c r="B77" i="1"/>
  <c r="F85" i="1"/>
  <c r="C85" i="1"/>
  <c r="B85" i="1"/>
  <c r="C84" i="1"/>
  <c r="B84" i="1"/>
  <c r="H73" i="1" l="1"/>
  <c r="I72" i="1"/>
  <c r="I73" i="1"/>
  <c r="I71" i="1"/>
  <c r="G73" i="1"/>
  <c r="H71" i="1"/>
  <c r="H74" i="1"/>
  <c r="E86" i="1"/>
  <c r="E87" i="1"/>
  <c r="G74" i="1"/>
  <c r="G71" i="1"/>
  <c r="C87" i="1"/>
  <c r="D86" i="1"/>
  <c r="D87" i="1"/>
  <c r="G72" i="1"/>
  <c r="I53" i="1"/>
  <c r="C86" i="1"/>
  <c r="I58" i="1"/>
  <c r="B87" i="1"/>
  <c r="B75" i="1"/>
  <c r="B86" i="1"/>
  <c r="B78" i="1"/>
  <c r="B81" i="1" s="1"/>
  <c r="B82" i="1" s="1"/>
  <c r="C59" i="1"/>
  <c r="H75" i="1" l="1"/>
  <c r="H78" i="1"/>
  <c r="H80" i="1" s="1"/>
  <c r="G75" i="1"/>
  <c r="G78" i="1"/>
  <c r="G80" i="1" s="1"/>
  <c r="B80" i="1"/>
  <c r="I59" i="1"/>
  <c r="C60" i="1"/>
  <c r="H81" i="1" l="1"/>
  <c r="H82" i="1" s="1"/>
  <c r="G81" i="1"/>
  <c r="G82" i="1" s="1"/>
  <c r="C61" i="1"/>
  <c r="I60" i="1"/>
  <c r="C62" i="1" l="1"/>
  <c r="I61" i="1"/>
  <c r="I62" i="1" l="1"/>
  <c r="C63" i="1"/>
  <c r="I63" i="1" l="1"/>
  <c r="C64" i="1"/>
  <c r="I64" i="1" l="1"/>
  <c r="C65" i="1"/>
  <c r="I65" i="1" l="1"/>
  <c r="C66" i="1"/>
  <c r="I66" i="1" l="1"/>
  <c r="C67" i="1"/>
  <c r="C68" i="1" l="1"/>
  <c r="I67" i="1"/>
  <c r="I68" i="1" l="1"/>
  <c r="I74" i="1" s="1"/>
  <c r="C74" i="1"/>
  <c r="I78" i="1" l="1"/>
  <c r="I75" i="1"/>
  <c r="C78" i="1"/>
  <c r="C75" i="1"/>
  <c r="C80" i="1" l="1"/>
  <c r="C81" i="1"/>
  <c r="C82" i="1" s="1"/>
  <c r="I80" i="1"/>
  <c r="I81" i="1"/>
  <c r="I82" i="1" s="1"/>
</calcChain>
</file>

<file path=xl/sharedStrings.xml><?xml version="1.0" encoding="utf-8"?>
<sst xmlns="http://schemas.openxmlformats.org/spreadsheetml/2006/main" count="114" uniqueCount="112">
  <si>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</si>
  <si>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</si>
  <si>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</si>
  <si>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</si>
  <si>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</si>
  <si>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</si>
  <si>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</si>
  <si>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</si>
  <si>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</si>
  <si>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</si>
  <si>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</si>
  <si>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</si>
  <si>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</si>
  <si>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</si>
  <si>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</si>
  <si>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</si>
  <si>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</si>
  <si>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</si>
  <si>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</si>
  <si>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</si>
  <si>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</si>
  <si>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</si>
  <si>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</si>
  <si>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</si>
  <si>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</si>
  <si>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</si>
  <si>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</si>
  <si>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</si>
  <si>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</si>
  <si>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</si>
  <si>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</si>
  <si>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</si>
  <si>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T16</t>
  </si>
  <si>
    <t>T17</t>
  </si>
  <si>
    <t>T18</t>
  </si>
  <si>
    <t>T19</t>
  </si>
  <si>
    <t>T20</t>
  </si>
  <si>
    <t>C1</t>
  </si>
  <si>
    <t>C2</t>
  </si>
  <si>
    <t>C3</t>
  </si>
  <si>
    <t>C4</t>
  </si>
  <si>
    <t>C5</t>
  </si>
  <si>
    <t>C6</t>
  </si>
  <si>
    <t>C7</t>
  </si>
  <si>
    <t>Skull</t>
  </si>
  <si>
    <t>Total length</t>
  </si>
  <si>
    <t>Cervical series</t>
  </si>
  <si>
    <t>Thoracic series</t>
  </si>
  <si>
    <t>Lumbar series</t>
  </si>
  <si>
    <t>Caudall series</t>
  </si>
  <si>
    <t>T average</t>
  </si>
  <si>
    <t>L average</t>
  </si>
  <si>
    <t>-</t>
  </si>
  <si>
    <t>Head</t>
  </si>
  <si>
    <t>Vertebral columnn</t>
  </si>
  <si>
    <t>Tail flesh</t>
  </si>
  <si>
    <t>Total length (skeletal)</t>
  </si>
  <si>
    <t>Mean interverterebral space</t>
  </si>
  <si>
    <t>Total length (straight)</t>
  </si>
  <si>
    <t>Total length (anatomical)</t>
  </si>
  <si>
    <t>Total length (living)</t>
  </si>
  <si>
    <t>Element</t>
  </si>
  <si>
    <r>
      <t xml:space="preserve">Perucetus </t>
    </r>
    <r>
      <rPr>
        <b/>
        <sz val="12"/>
        <color theme="1"/>
        <rFont val="Calibri"/>
        <family val="2"/>
        <scheme val="minor"/>
      </rPr>
      <t>(MUSM 3248)</t>
    </r>
  </si>
  <si>
    <r>
      <t xml:space="preserve">Antaecetus </t>
    </r>
    <r>
      <rPr>
        <b/>
        <sz val="12"/>
        <color theme="1"/>
        <rFont val="Calibri"/>
        <family val="2"/>
        <scheme val="minor"/>
      </rPr>
      <t>(FSAC Bouj-200)</t>
    </r>
  </si>
  <si>
    <r>
      <t xml:space="preserve">Cynthiacetus </t>
    </r>
    <r>
      <rPr>
        <b/>
        <sz val="12"/>
        <color theme="1"/>
        <rFont val="Calibri"/>
        <family val="2"/>
        <scheme val="minor"/>
      </rPr>
      <t>(MNHN.F.PRU10)</t>
    </r>
  </si>
  <si>
    <r>
      <t xml:space="preserve">Basilosaurus </t>
    </r>
    <r>
      <rPr>
        <b/>
        <sz val="12"/>
        <color theme="1"/>
        <rFont val="Calibri"/>
        <family val="2"/>
        <scheme val="minor"/>
      </rPr>
      <t>(USNM 4674/4675/12261)</t>
    </r>
  </si>
  <si>
    <r>
      <t xml:space="preserve">Average T and L lengths and ratios for estimating </t>
    </r>
    <r>
      <rPr>
        <b/>
        <i/>
        <sz val="14"/>
        <color theme="1"/>
        <rFont val="Calibri"/>
        <family val="2"/>
        <scheme val="minor"/>
      </rPr>
      <t>Perucetus</t>
    </r>
    <r>
      <rPr>
        <b/>
        <sz val="14"/>
        <color theme="1"/>
        <rFont val="Calibri"/>
        <family val="2"/>
        <scheme val="minor"/>
      </rPr>
      <t xml:space="preserve"> missing vertebrae lengths</t>
    </r>
  </si>
  <si>
    <r>
      <t xml:space="preserve">VERTEBRAE AND BODY PROPORTIONS IN BASILOSAURIDAE AND BODY LENGTH ESTIMATIONS FOR </t>
    </r>
    <r>
      <rPr>
        <b/>
        <i/>
        <sz val="16"/>
        <color theme="1"/>
        <rFont val="Calibri"/>
        <family val="2"/>
        <scheme val="minor"/>
      </rPr>
      <t>PERUCETUS COLOSSUS</t>
    </r>
    <r>
      <rPr>
        <b/>
        <sz val="16"/>
        <color theme="1"/>
        <rFont val="Calibri"/>
        <family val="2"/>
        <scheme val="minor"/>
      </rPr>
      <t xml:space="preserve"> (measurements in mm)</t>
    </r>
  </si>
  <si>
    <t>Ca1</t>
  </si>
  <si>
    <t>Ca2</t>
  </si>
  <si>
    <t>Ca3</t>
  </si>
  <si>
    <t>Ca4</t>
  </si>
  <si>
    <t>Ca5</t>
  </si>
  <si>
    <t>Ca6</t>
  </si>
  <si>
    <t>Ca7</t>
  </si>
  <si>
    <t>Ca8</t>
  </si>
  <si>
    <t>Ca9</t>
  </si>
  <si>
    <t>Ca10</t>
  </si>
  <si>
    <t>Ca11</t>
  </si>
  <si>
    <t>Ca12</t>
  </si>
  <si>
    <t>Ca13</t>
  </si>
  <si>
    <t>Ca14</t>
  </si>
  <si>
    <t>Ca15</t>
  </si>
  <si>
    <t>Ca16</t>
  </si>
  <si>
    <t>Ca17</t>
  </si>
  <si>
    <t>Ca18</t>
  </si>
  <si>
    <t>Ca19</t>
  </si>
  <si>
    <t>Ca20</t>
  </si>
  <si>
    <t>Ca21</t>
  </si>
  <si>
    <t>Footnotes</t>
  </si>
  <si>
    <t>Measurement references</t>
  </si>
  <si>
    <r>
      <t xml:space="preserve">Uhen, M.D. 2001. New Material of </t>
    </r>
    <r>
      <rPr>
        <i/>
        <sz val="10"/>
        <color rgb="FF222222"/>
        <rFont val="Times New Roman"/>
        <family val="1"/>
      </rPr>
      <t>Eocetus wardii</t>
    </r>
    <r>
      <rPr>
        <sz val="10"/>
        <color rgb="FF222222"/>
        <rFont val="Times New Roman"/>
        <family val="1"/>
      </rPr>
      <t xml:space="preserve">, from the middle Eocene of North Carolina. </t>
    </r>
    <r>
      <rPr>
        <i/>
        <sz val="10"/>
        <color rgb="FF222222"/>
        <rFont val="Times New Roman"/>
        <family val="1"/>
      </rPr>
      <t>Southeastern Geology, 40</t>
    </r>
    <r>
      <rPr>
        <sz val="10"/>
        <color rgb="FF222222"/>
        <rFont val="Times New Roman"/>
        <family val="1"/>
      </rPr>
      <t xml:space="preserve">, 135-148. </t>
    </r>
  </si>
  <si>
    <r>
      <t xml:space="preserve">Gingerich, P. D., Amane, A., and Zouhri, S. 2022. Skull and partial skeleton of a new pachycetine genus from the Aridal Formation, Bartonian middle Eocene, of southwestern Morocco. </t>
    </r>
    <r>
      <rPr>
        <i/>
        <sz val="10"/>
        <color rgb="FF222222"/>
        <rFont val="Times New Roman"/>
        <family val="1"/>
      </rPr>
      <t>PLoS ONE, 17</t>
    </r>
    <r>
      <rPr>
        <sz val="10"/>
        <color rgb="FF222222"/>
        <rFont val="Times New Roman"/>
        <family val="1"/>
      </rPr>
      <t>, e0276110.</t>
    </r>
  </si>
  <si>
    <r>
      <t xml:space="preserve">Martínez-Cáceres, M., Lambert, O., and De Muizon, C. 2017. The anatomy and phylogenetic affinities of </t>
    </r>
    <r>
      <rPr>
        <i/>
        <sz val="10"/>
        <color rgb="FF222222"/>
        <rFont val="Times New Roman"/>
        <family val="1"/>
      </rPr>
      <t>Cynthiacetus peruvianus</t>
    </r>
    <r>
      <rPr>
        <sz val="10"/>
        <color rgb="FF222222"/>
        <rFont val="Times New Roman"/>
        <family val="1"/>
      </rPr>
      <t>, a large Dorudon-like basilosaurid (Cetacea, Mammalia) from the late Eocene of Peru. </t>
    </r>
    <r>
      <rPr>
        <i/>
        <sz val="10"/>
        <color rgb="FF222222"/>
        <rFont val="Times New Roman"/>
        <family val="1"/>
      </rPr>
      <t>Geodiversitas</t>
    </r>
    <r>
      <rPr>
        <sz val="10"/>
        <color rgb="FF222222"/>
        <rFont val="Times New Roman"/>
        <family val="1"/>
      </rPr>
      <t>, </t>
    </r>
    <r>
      <rPr>
        <i/>
        <sz val="10"/>
        <color rgb="FF222222"/>
        <rFont val="Times New Roman"/>
        <family val="1"/>
      </rPr>
      <t>39</t>
    </r>
    <r>
      <rPr>
        <sz val="10"/>
        <color rgb="FF222222"/>
        <rFont val="Times New Roman"/>
        <family val="1"/>
      </rPr>
      <t>(1), 7–163.</t>
    </r>
    <r>
      <rPr>
        <sz val="10"/>
        <color rgb="FF000000"/>
        <rFont val="Times New Roman"/>
        <family val="1"/>
      </rPr>
      <t xml:space="preserve"> </t>
    </r>
  </si>
  <si>
    <r>
      <t xml:space="preserve">Kellogg, R. 1936. A review of the Archaeoceti. </t>
    </r>
    <r>
      <rPr>
        <i/>
        <sz val="10"/>
        <color theme="1"/>
        <rFont val="Times New Roman"/>
        <family val="1"/>
      </rPr>
      <t>Carnegie Institution of Washington Publication</t>
    </r>
    <r>
      <rPr>
        <sz val="10"/>
        <color theme="1"/>
        <rFont val="Times New Roman"/>
        <family val="1"/>
      </rPr>
      <t xml:space="preserve">, 482, 1–366. </t>
    </r>
  </si>
  <si>
    <r>
      <t>Bianucci, G., Lambert, O., Urbina, M., Merella, M., Collareta, A., Bennion, R., Salas–Gismondi, R., Benites-Palomino, A., Post, K., de Muizon, C., Bosio, G., Di Celma, C., Malinverno, E., Pierantoni, P. P., Villa, I. M., and Amson, E. (2023). A heavyweight early whale pushes the boundaries of vertebrate morphology. </t>
    </r>
    <r>
      <rPr>
        <i/>
        <sz val="10"/>
        <color rgb="FF222222"/>
        <rFont val="Times New Roman"/>
        <family val="1"/>
      </rPr>
      <t>Nature</t>
    </r>
    <r>
      <rPr>
        <sz val="10"/>
        <color rgb="FF222222"/>
        <rFont val="Times New Roman"/>
        <family val="1"/>
      </rPr>
      <t>, </t>
    </r>
    <r>
      <rPr>
        <i/>
        <sz val="10"/>
        <color rgb="FF222222"/>
        <rFont val="Times New Roman"/>
        <family val="1"/>
      </rPr>
      <t>620</t>
    </r>
    <r>
      <rPr>
        <sz val="10"/>
        <color rgb="FF222222"/>
        <rFont val="Times New Roman"/>
        <family val="1"/>
      </rPr>
      <t>(7975), 824–829.</t>
    </r>
  </si>
  <si>
    <t>Measurements in italics and grey are inferred lengths based on ratios.</t>
  </si>
  <si>
    <r>
      <rPr>
        <i/>
        <sz val="12"/>
        <color theme="1"/>
        <rFont val="Calibri"/>
        <family val="2"/>
        <scheme val="minor"/>
      </rPr>
      <t>Perucetus</t>
    </r>
    <r>
      <rPr>
        <sz val="12"/>
        <color theme="1"/>
        <rFont val="Calibri"/>
        <family val="2"/>
        <scheme val="minor"/>
      </rPr>
      <t xml:space="preserve"> T ratio</t>
    </r>
  </si>
  <si>
    <r>
      <rPr>
        <i/>
        <sz val="12"/>
        <color theme="1"/>
        <rFont val="Calibri"/>
        <family val="2"/>
        <scheme val="minor"/>
      </rPr>
      <t>Perucetus</t>
    </r>
    <r>
      <rPr>
        <sz val="12"/>
        <color theme="1"/>
        <rFont val="Calibri"/>
        <family val="2"/>
        <scheme val="minor"/>
      </rPr>
      <t xml:space="preserve"> L ratio</t>
    </r>
  </si>
  <si>
    <t>C, cervical; T, thoracic; L, lumbar; Ca, caudal.</t>
  </si>
  <si>
    <r>
      <t xml:space="preserve">Pachycetus </t>
    </r>
    <r>
      <rPr>
        <b/>
        <sz val="12"/>
        <color theme="1"/>
        <rFont val="Calibri"/>
        <family val="2"/>
        <scheme val="minor"/>
      </rPr>
      <t>(MUSM 3248)</t>
    </r>
  </si>
  <si>
    <r>
      <t xml:space="preserve">PERUCETUS COLOSSUS </t>
    </r>
    <r>
      <rPr>
        <b/>
        <sz val="12"/>
        <color theme="1"/>
        <rFont val="Calibri"/>
        <family val="2"/>
        <scheme val="minor"/>
      </rPr>
      <t>(12 T &amp; 12 L)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MINIMUM ESTIMATE</t>
    </r>
  </si>
  <si>
    <r>
      <t xml:space="preserve">PERUCETUS COLOSSUS </t>
    </r>
    <r>
      <rPr>
        <b/>
        <sz val="12"/>
        <color theme="1"/>
        <rFont val="Calibri"/>
        <family val="2"/>
        <scheme val="minor"/>
      </rPr>
      <t>(13 T &amp; 16 L)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MAXIMUM ESTIMATE</t>
    </r>
  </si>
  <si>
    <r>
      <rPr>
        <i/>
        <sz val="10"/>
        <color theme="1"/>
        <rFont val="Calibri"/>
        <family val="2"/>
        <scheme val="minor"/>
      </rPr>
      <t xml:space="preserve">Antaecetus </t>
    </r>
    <r>
      <rPr>
        <sz val="10"/>
        <color theme="1"/>
        <rFont val="Calibri"/>
        <family val="2"/>
        <scheme val="minor"/>
      </rPr>
      <t xml:space="preserve">missing T1 and T2 lengths calculated based on </t>
    </r>
    <r>
      <rPr>
        <i/>
        <sz val="10"/>
        <color theme="1"/>
        <rFont val="Calibri"/>
        <family val="2"/>
        <scheme val="minor"/>
      </rPr>
      <t>Pachycetus</t>
    </r>
    <r>
      <rPr>
        <sz val="10"/>
        <color theme="1"/>
        <rFont val="Calibri"/>
        <family val="2"/>
        <scheme val="minor"/>
      </rPr>
      <t xml:space="preserve"> ratios.</t>
    </r>
  </si>
  <si>
    <r>
      <rPr>
        <i/>
        <sz val="10"/>
        <color theme="1"/>
        <rFont val="Calibri"/>
        <family val="2"/>
        <scheme val="minor"/>
      </rPr>
      <t>Cynthiacetus</t>
    </r>
    <r>
      <rPr>
        <sz val="10"/>
        <color theme="1"/>
        <rFont val="Calibri"/>
        <family val="2"/>
        <scheme val="minor"/>
      </rPr>
      <t xml:space="preserve"> first cervical length calculated from Martínez-Cáceres et al. (2017), figure 1.</t>
    </r>
  </si>
  <si>
    <r>
      <rPr>
        <i/>
        <sz val="10"/>
        <color theme="1"/>
        <rFont val="Calibri"/>
        <family val="2"/>
        <scheme val="minor"/>
      </rPr>
      <t>Cynthiacetus</t>
    </r>
    <r>
      <rPr>
        <sz val="10"/>
        <color theme="1"/>
        <rFont val="Calibri"/>
        <family val="2"/>
        <scheme val="minor"/>
      </rPr>
      <t xml:space="preserve"> missing caudal vertebrabe lengths calculated based on </t>
    </r>
    <r>
      <rPr>
        <i/>
        <sz val="10"/>
        <color theme="1"/>
        <rFont val="Calibri"/>
        <family val="2"/>
        <scheme val="minor"/>
      </rPr>
      <t>Basilosaurus</t>
    </r>
    <r>
      <rPr>
        <sz val="10"/>
        <color theme="1"/>
        <rFont val="Calibri"/>
        <family val="2"/>
        <scheme val="minor"/>
      </rPr>
      <t xml:space="preserve"> ratios.</t>
    </r>
  </si>
  <si>
    <r>
      <t>Perucetus</t>
    </r>
    <r>
      <rPr>
        <sz val="10"/>
        <color rgb="FF000000"/>
        <rFont val="Calibri"/>
        <family val="2"/>
        <scheme val="minor"/>
      </rPr>
      <t xml:space="preserve"> skull length estimated as intermediate between pachycetines and dorudontines based on lumbar measurements; see main text for full explanations</t>
    </r>
  </si>
  <si>
    <r>
      <t xml:space="preserve">PERUCETUS COLOSSUS </t>
    </r>
    <r>
      <rPr>
        <b/>
        <sz val="12"/>
        <color theme="1"/>
        <rFont val="Calibri"/>
        <family val="2"/>
        <scheme val="minor"/>
      </rPr>
      <t>(20 T &amp; 17 L)</t>
    </r>
    <r>
      <rPr>
        <b/>
        <i/>
        <sz val="12"/>
        <color theme="1"/>
        <rFont val="Calibri"/>
        <family val="2"/>
        <scheme val="minor"/>
      </rPr>
      <t xml:space="preserve"> Cynthiacetus</t>
    </r>
    <r>
      <rPr>
        <b/>
        <sz val="12"/>
        <color theme="1"/>
        <rFont val="Calibri"/>
        <family val="2"/>
        <scheme val="minor"/>
      </rPr>
      <t>-like</t>
    </r>
  </si>
  <si>
    <t>Living vertebral column lengths assume a factor of 1.15 to account for intervertebral cartilage thickness; see main text for full explanations.</t>
  </si>
  <si>
    <r>
      <t>Perucetus</t>
    </r>
    <r>
      <rPr>
        <sz val="10"/>
        <color rgb="FF000000"/>
        <rFont val="Calibri"/>
        <family val="2"/>
        <scheme val="minor"/>
      </rPr>
      <t xml:space="preserve"> missing vertebrae calculated based on </t>
    </r>
    <r>
      <rPr>
        <i/>
        <sz val="10"/>
        <color rgb="FF000000"/>
        <rFont val="Calibri"/>
        <family val="2"/>
        <scheme val="minor"/>
      </rPr>
      <t>Pachycetus</t>
    </r>
    <r>
      <rPr>
        <sz val="10"/>
        <color rgb="FF000000"/>
        <rFont val="Calibri"/>
        <family val="2"/>
        <scheme val="minor"/>
      </rPr>
      <t xml:space="preserve"> or </t>
    </r>
    <r>
      <rPr>
        <i/>
        <sz val="10"/>
        <color rgb="FF000000"/>
        <rFont val="Calibri"/>
        <family val="2"/>
        <scheme val="minor"/>
      </rPr>
      <t>Antaecetus</t>
    </r>
    <r>
      <rPr>
        <sz val="10"/>
        <color rgb="FF000000"/>
        <rFont val="Calibri"/>
        <family val="2"/>
        <scheme val="minor"/>
      </rPr>
      <t xml:space="preserve">, and </t>
    </r>
    <r>
      <rPr>
        <i/>
        <sz val="10"/>
        <color rgb="FF000000"/>
        <rFont val="Calibri"/>
        <family val="2"/>
        <scheme val="minor"/>
      </rPr>
      <t>Basilosaurus</t>
    </r>
    <r>
      <rPr>
        <sz val="10"/>
        <color rgb="FF000000"/>
        <rFont val="Calibri"/>
        <family val="2"/>
        <scheme val="minor"/>
      </rPr>
      <t xml:space="preserve"> in minimum and maximum estimates; see main text for full explanations.</t>
    </r>
  </si>
  <si>
    <r>
      <t xml:space="preserve">The </t>
    </r>
    <r>
      <rPr>
        <i/>
        <sz val="10"/>
        <color theme="1"/>
        <rFont val="Calibri"/>
        <family val="2"/>
        <scheme val="minor"/>
      </rPr>
      <t>Perucetus</t>
    </r>
    <r>
      <rPr>
        <sz val="10"/>
        <color theme="1"/>
        <rFont val="Calibri"/>
        <family val="2"/>
        <scheme val="minor"/>
      </rPr>
      <t xml:space="preserve"> head length in the flesh assumes a factor of 1.03 of the skull length to account for the soft tissue.</t>
    </r>
  </si>
  <si>
    <t>Total living lengths assume a factor of 0.98 to achieve the anatomical length observed in the volumetric restorations.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</si>
</sst>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rgb="FF222222"/>
      <name val="Times New Roman"/>
      <family val="1"/>
    </font>
    <font>
      <i/>
      <sz val="10"/>
      <color rgb="FF222222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1"/>
      </bottom>
      <diagonal/>
    </border>
    <border>
      <left/>
      <right/>
      <top style="thin">
        <color theme="1" tint="4.9989318521683403E-2"/>
      </top>
      <bottom style="thin">
        <color theme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" fontId="5" fillId="2" borderId="2" xfId="0" applyNumberFormat="1" applyFont="1" applyFill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" fontId="6" fillId="2" borderId="2" xfId="0" applyNumberFormat="1" applyFont="1" applyFill="1" applyBorder="1" applyAlignment="1">
      <alignment horizontal="center"/>
    </xf>
    <xf numFmtId="0" fontId="0" fillId="0" borderId="3" xfId="0" applyBorder="1"/>
    <xf numFmtId="1" fontId="0" fillId="2" borderId="3" xfId="0" applyNumberForma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/>
    <xf numFmtId="1" fontId="0" fillId="2" borderId="2" xfId="0" applyNumberForma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/>
    <xf numFmtId="49" fontId="0" fillId="0" borderId="0" xfId="0" applyNumberFormat="1"/>
    <xf numFmtId="49" fontId="13" fillId="0" borderId="0" xfId="0" applyNumberFormat="1" applyFont="1"/>
    <xf numFmtId="0" fontId="13" fillId="0" borderId="0" xfId="0" applyFont="1" applyAlignment="1">
      <alignment horizontal="center"/>
    </xf>
    <xf numFmtId="49" fontId="16" fillId="0" borderId="0" xfId="0" applyNumberFormat="1" applyFont="1"/>
    <xf numFmtId="0" fontId="17" fillId="0" borderId="0" xfId="0" applyFont="1"/>
    <xf numFmtId="0" fontId="1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2" xfId="0" applyBorder="1"/>
    <xf numFmtId="165" fontId="0" fillId="2" borderId="2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0" fontId="0" fillId="0" borderId="9" xfId="0" applyBorder="1"/>
    <xf numFmtId="2" fontId="0" fillId="0" borderId="9" xfId="0" applyNumberFormat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0" fillId="0" borderId="7" xfId="0" applyFont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5A6EB-6755-A943-B880-70DCDDB63C26}">
  <dimension ref="A1:Q107"/>
  <sheetViews>
    <sheetView tabSelected="1" workbookViewId="0">
      <pane ySplit="2" topLeftCell="A42" activePane="bottomLeft" state="frozen"/>
      <selection pane="bottomLeft" activeCell="A82" sqref="A82:C82"/>
    </sheetView>
  </sheetViews>
  <sheetFormatPr baseColWidth="10" defaultRowHeight="16" x14ac:dyDescent="0.2"/>
  <cols>
    <col min="1" max="1" width="24.5" customWidth="1"/>
    <col min="2" max="2" width="17.6640625" style="1" customWidth="1"/>
    <col min="3" max="3" width="19" style="1" customWidth="1"/>
    <col min="4" max="4" width="13.1640625" style="1" customWidth="1"/>
    <col min="5" max="5" width="14.6640625" style="1" customWidth="1"/>
    <col min="6" max="6" width="13.33203125" style="1" customWidth="1"/>
    <col min="7" max="7" width="20.6640625" style="1" customWidth="1"/>
    <col min="8" max="9" width="20.83203125" style="1" customWidth="1"/>
    <col min="11" max="11" width="11.5" bestFit="1" customWidth="1"/>
    <col min="12" max="12" width="19.5" bestFit="1" customWidth="1"/>
    <col min="13" max="13" width="11.5" bestFit="1" customWidth="1"/>
    <col min="15" max="15" width="11.5" bestFit="1" customWidth="1"/>
    <col min="16" max="16" width="12.6640625" bestFit="1" customWidth="1"/>
  </cols>
  <sheetData>
    <row r="1" spans="1:12" ht="22" thickBot="1" x14ac:dyDescent="0.3">
      <c r="A1" s="75" t="s">
        <v>67</v>
      </c>
      <c r="B1" s="75"/>
      <c r="C1" s="75"/>
      <c r="D1" s="75"/>
      <c r="E1" s="75"/>
      <c r="F1" s="75"/>
      <c r="G1" s="75"/>
      <c r="H1" s="75"/>
      <c r="I1" s="75"/>
    </row>
    <row r="2" spans="1:12" ht="64" customHeight="1" thickTop="1" x14ac:dyDescent="0.2">
      <c r="A2" s="53" t="s">
        <v>61</v>
      </c>
      <c r="B2" s="54" t="s">
        <v>65</v>
      </c>
      <c r="C2" s="55" t="s">
        <v>64</v>
      </c>
      <c r="D2" s="54" t="s">
        <v>100</v>
      </c>
      <c r="E2" s="55" t="s">
        <v>63</v>
      </c>
      <c r="F2" s="54" t="s">
        <v>62</v>
      </c>
      <c r="G2" s="55" t="s">
        <v>101</v>
      </c>
      <c r="H2" s="54" t="s">
        <v>102</v>
      </c>
      <c r="I2" s="55" t="s">
        <v>107</v>
      </c>
    </row>
    <row r="3" spans="1:12" x14ac:dyDescent="0.2">
      <c r="A3" s="6" t="s">
        <v>44</v>
      </c>
      <c r="B3" s="17">
        <v>1248</v>
      </c>
      <c r="C3" s="7">
        <v>1170</v>
      </c>
      <c r="D3" s="17">
        <v>0</v>
      </c>
      <c r="E3" s="7">
        <v>0</v>
      </c>
      <c r="F3" s="17">
        <v>0</v>
      </c>
      <c r="G3" s="8">
        <v>1500</v>
      </c>
      <c r="H3" s="25">
        <v>1500</v>
      </c>
      <c r="I3" s="9">
        <v>1500</v>
      </c>
    </row>
    <row r="4" spans="1:12" x14ac:dyDescent="0.2">
      <c r="A4" s="6" t="s">
        <v>37</v>
      </c>
      <c r="B4" s="17">
        <v>104</v>
      </c>
      <c r="C4" s="7">
        <v>90</v>
      </c>
      <c r="D4" s="17">
        <v>0</v>
      </c>
      <c r="E4" s="7">
        <v>0</v>
      </c>
      <c r="F4" s="17">
        <v>0</v>
      </c>
      <c r="G4" s="9">
        <f>G3/B3*B4</f>
        <v>125</v>
      </c>
      <c r="H4" s="26">
        <f>G3/B3*B4</f>
        <v>125</v>
      </c>
      <c r="I4" s="9">
        <f>I3/C3*C4</f>
        <v>115.3846153846154</v>
      </c>
    </row>
    <row r="5" spans="1:12" x14ac:dyDescent="0.2">
      <c r="A5" s="6" t="s">
        <v>38</v>
      </c>
      <c r="B5" s="17">
        <v>56</v>
      </c>
      <c r="C5" s="7">
        <v>80</v>
      </c>
      <c r="D5" s="17">
        <v>0</v>
      </c>
      <c r="E5" s="7">
        <v>0</v>
      </c>
      <c r="F5" s="17">
        <v>0</v>
      </c>
      <c r="G5" s="9">
        <f>G3/B3*B5</f>
        <v>67.307692307692307</v>
      </c>
      <c r="H5" s="26">
        <f>G3/B3*B5</f>
        <v>67.307692307692307</v>
      </c>
      <c r="I5" s="9">
        <f>I3/C3*C5</f>
        <v>102.56410256410257</v>
      </c>
    </row>
    <row r="6" spans="1:12" x14ac:dyDescent="0.2">
      <c r="A6" s="6" t="s">
        <v>39</v>
      </c>
      <c r="B6" s="17">
        <v>42</v>
      </c>
      <c r="C6" s="7">
        <v>37</v>
      </c>
      <c r="D6" s="17">
        <v>0</v>
      </c>
      <c r="E6" s="7">
        <v>0</v>
      </c>
      <c r="F6" s="17">
        <v>0</v>
      </c>
      <c r="G6" s="9">
        <f>G3/B3*B6</f>
        <v>50.480769230769226</v>
      </c>
      <c r="H6" s="26">
        <f>G3/B3*B6</f>
        <v>50.480769230769226</v>
      </c>
      <c r="I6" s="9">
        <f>I3/C3*C6</f>
        <v>47.435897435897438</v>
      </c>
    </row>
    <row r="7" spans="1:12" x14ac:dyDescent="0.2">
      <c r="A7" s="6" t="s">
        <v>40</v>
      </c>
      <c r="B7" s="17">
        <v>40.200000000000003</v>
      </c>
      <c r="C7" s="7">
        <v>30</v>
      </c>
      <c r="D7" s="17">
        <v>0</v>
      </c>
      <c r="E7" s="7">
        <v>0</v>
      </c>
      <c r="F7" s="17">
        <v>0</v>
      </c>
      <c r="G7" s="9">
        <f>G3/B3*B7</f>
        <v>48.317307692307693</v>
      </c>
      <c r="H7" s="26">
        <f>G3/B3*B7</f>
        <v>48.317307692307693</v>
      </c>
      <c r="I7" s="9">
        <f>I3/C3*C7</f>
        <v>38.461538461538467</v>
      </c>
    </row>
    <row r="8" spans="1:12" x14ac:dyDescent="0.2">
      <c r="A8" s="6" t="s">
        <v>41</v>
      </c>
      <c r="B8" s="17">
        <v>46.5</v>
      </c>
      <c r="C8" s="7">
        <v>33.5</v>
      </c>
      <c r="D8" s="17">
        <v>0</v>
      </c>
      <c r="E8" s="7">
        <v>0</v>
      </c>
      <c r="F8" s="17">
        <v>0</v>
      </c>
      <c r="G8" s="9">
        <f>G3/B3*B8</f>
        <v>55.889423076923073</v>
      </c>
      <c r="H8" s="26">
        <f>G3/B3*B8</f>
        <v>55.889423076923073</v>
      </c>
      <c r="I8" s="9">
        <f>I3/C3*C8</f>
        <v>42.948717948717949</v>
      </c>
    </row>
    <row r="9" spans="1:12" x14ac:dyDescent="0.2">
      <c r="A9" s="6" t="s">
        <v>42</v>
      </c>
      <c r="B9" s="17">
        <v>58.5</v>
      </c>
      <c r="C9" s="7">
        <v>35</v>
      </c>
      <c r="D9" s="17">
        <v>0</v>
      </c>
      <c r="E9" s="7">
        <v>0</v>
      </c>
      <c r="F9" s="17">
        <v>0</v>
      </c>
      <c r="G9" s="9">
        <f>G3/B3*B9</f>
        <v>70.3125</v>
      </c>
      <c r="H9" s="26">
        <f>G3/B3*B9</f>
        <v>70.3125</v>
      </c>
      <c r="I9" s="9">
        <f>I3/C3*C9</f>
        <v>44.871794871794876</v>
      </c>
    </row>
    <row r="10" spans="1:12" x14ac:dyDescent="0.2">
      <c r="A10" s="6" t="s">
        <v>43</v>
      </c>
      <c r="B10" s="17">
        <v>66.5</v>
      </c>
      <c r="C10" s="7">
        <v>42.5</v>
      </c>
      <c r="D10" s="17">
        <v>32</v>
      </c>
      <c r="E10" s="7">
        <v>0</v>
      </c>
      <c r="F10" s="17">
        <v>0</v>
      </c>
      <c r="G10" s="9">
        <f>G3/B3*B10</f>
        <v>79.927884615384613</v>
      </c>
      <c r="H10" s="26">
        <f>G3/B3*B10</f>
        <v>79.927884615384613</v>
      </c>
      <c r="I10" s="9">
        <f>I3/C3*C10</f>
        <v>54.487179487179489</v>
      </c>
    </row>
    <row r="11" spans="1:12" x14ac:dyDescent="0.2">
      <c r="A11" s="6" t="s">
        <v>0</v>
      </c>
      <c r="B11" s="17">
        <v>92</v>
      </c>
      <c r="C11" s="7">
        <v>62.7</v>
      </c>
      <c r="D11" s="17">
        <v>51</v>
      </c>
      <c r="E11" s="10">
        <f>D11/D12*E12</f>
        <v>31.224489795918366</v>
      </c>
      <c r="F11" s="17">
        <v>0</v>
      </c>
      <c r="G11" s="9">
        <f>D11*2.75</f>
        <v>140.25</v>
      </c>
      <c r="H11" s="26">
        <f t="shared" ref="H11:H20" si="0">E11*3.04</f>
        <v>94.922448979591834</v>
      </c>
      <c r="I11" s="9">
        <f t="shared" ref="I11:I28" si="1">C11*2.52</f>
        <v>158.00400000000002</v>
      </c>
    </row>
    <row r="12" spans="1:12" x14ac:dyDescent="0.2">
      <c r="A12" s="6" t="s">
        <v>1</v>
      </c>
      <c r="B12" s="17">
        <v>102</v>
      </c>
      <c r="C12" s="7">
        <v>75.27</v>
      </c>
      <c r="D12" s="17">
        <v>63.3</v>
      </c>
      <c r="E12" s="10">
        <f>D12/D13*E13</f>
        <v>38.755102040816325</v>
      </c>
      <c r="F12" s="17">
        <v>0</v>
      </c>
      <c r="G12" s="9">
        <f t="shared" ref="G12:G20" si="2">D12*2.75</f>
        <v>174.07499999999999</v>
      </c>
      <c r="H12" s="26">
        <f t="shared" si="0"/>
        <v>117.81551020408163</v>
      </c>
      <c r="I12" s="9">
        <f t="shared" si="1"/>
        <v>189.68039999999999</v>
      </c>
    </row>
    <row r="13" spans="1:12" x14ac:dyDescent="0.2">
      <c r="A13" s="6" t="s">
        <v>2</v>
      </c>
      <c r="B13" s="17">
        <v>112</v>
      </c>
      <c r="C13" s="7">
        <v>81.72</v>
      </c>
      <c r="D13" s="17">
        <v>63.7</v>
      </c>
      <c r="E13" s="7">
        <v>39</v>
      </c>
      <c r="F13" s="17">
        <v>0</v>
      </c>
      <c r="G13" s="9">
        <f t="shared" si="2"/>
        <v>175.17500000000001</v>
      </c>
      <c r="H13" s="26">
        <f t="shared" si="0"/>
        <v>118.56</v>
      </c>
      <c r="I13" s="9">
        <f t="shared" si="1"/>
        <v>205.93440000000001</v>
      </c>
      <c r="L13" s="3"/>
    </row>
    <row r="14" spans="1:12" x14ac:dyDescent="0.2">
      <c r="A14" s="6" t="s">
        <v>3</v>
      </c>
      <c r="B14" s="17">
        <v>104.5</v>
      </c>
      <c r="C14" s="7">
        <v>75.7</v>
      </c>
      <c r="D14" s="17">
        <v>60.3</v>
      </c>
      <c r="E14" s="7">
        <v>45</v>
      </c>
      <c r="F14" s="17">
        <v>0</v>
      </c>
      <c r="G14" s="9">
        <f t="shared" si="2"/>
        <v>165.82499999999999</v>
      </c>
      <c r="H14" s="26">
        <f t="shared" si="0"/>
        <v>136.80000000000001</v>
      </c>
      <c r="I14" s="9">
        <f t="shared" si="1"/>
        <v>190.76400000000001</v>
      </c>
      <c r="L14" s="3"/>
    </row>
    <row r="15" spans="1:12" x14ac:dyDescent="0.2">
      <c r="A15" s="6" t="s">
        <v>4</v>
      </c>
      <c r="B15" s="17">
        <v>102</v>
      </c>
      <c r="C15" s="7">
        <v>79.8</v>
      </c>
      <c r="D15" s="17">
        <v>58.4</v>
      </c>
      <c r="E15" s="7">
        <v>53</v>
      </c>
      <c r="F15" s="17">
        <v>0</v>
      </c>
      <c r="G15" s="9">
        <f t="shared" si="2"/>
        <v>160.6</v>
      </c>
      <c r="H15" s="26">
        <f t="shared" si="0"/>
        <v>161.12</v>
      </c>
      <c r="I15" s="9">
        <f t="shared" si="1"/>
        <v>201.096</v>
      </c>
    </row>
    <row r="16" spans="1:12" x14ac:dyDescent="0.2">
      <c r="A16" s="6" t="s">
        <v>5</v>
      </c>
      <c r="B16" s="17">
        <v>108.5</v>
      </c>
      <c r="C16" s="7">
        <v>72.3</v>
      </c>
      <c r="D16" s="17">
        <v>74.3</v>
      </c>
      <c r="E16" s="7">
        <v>56</v>
      </c>
      <c r="F16" s="17">
        <v>0</v>
      </c>
      <c r="G16" s="9">
        <f t="shared" si="2"/>
        <v>204.32499999999999</v>
      </c>
      <c r="H16" s="26">
        <f t="shared" si="0"/>
        <v>170.24</v>
      </c>
      <c r="I16" s="9">
        <f t="shared" si="1"/>
        <v>182.196</v>
      </c>
    </row>
    <row r="17" spans="1:12" x14ac:dyDescent="0.2">
      <c r="A17" s="6" t="s">
        <v>6</v>
      </c>
      <c r="B17" s="17">
        <v>122</v>
      </c>
      <c r="C17" s="7">
        <v>87.3</v>
      </c>
      <c r="D17" s="17">
        <v>74</v>
      </c>
      <c r="E17" s="7">
        <v>59</v>
      </c>
      <c r="F17" s="17">
        <v>0</v>
      </c>
      <c r="G17" s="9">
        <f t="shared" si="2"/>
        <v>203.5</v>
      </c>
      <c r="H17" s="26">
        <f t="shared" si="0"/>
        <v>179.36</v>
      </c>
      <c r="I17" s="9">
        <f t="shared" si="1"/>
        <v>219.99599999999998</v>
      </c>
    </row>
    <row r="18" spans="1:12" x14ac:dyDescent="0.2">
      <c r="A18" s="6" t="s">
        <v>7</v>
      </c>
      <c r="B18" s="17">
        <v>128</v>
      </c>
      <c r="C18" s="7">
        <v>91</v>
      </c>
      <c r="D18" s="17">
        <v>78.2</v>
      </c>
      <c r="E18" s="7">
        <v>63</v>
      </c>
      <c r="F18" s="17">
        <v>0</v>
      </c>
      <c r="G18" s="9">
        <f t="shared" si="2"/>
        <v>215.05</v>
      </c>
      <c r="H18" s="26">
        <f t="shared" si="0"/>
        <v>191.52</v>
      </c>
      <c r="I18" s="9">
        <f t="shared" si="1"/>
        <v>229.32</v>
      </c>
    </row>
    <row r="19" spans="1:12" x14ac:dyDescent="0.2">
      <c r="A19" s="6" t="s">
        <v>8</v>
      </c>
      <c r="B19" s="17">
        <v>196</v>
      </c>
      <c r="C19" s="7">
        <v>91.3</v>
      </c>
      <c r="D19" s="17">
        <v>80.5</v>
      </c>
      <c r="E19" s="7">
        <v>68</v>
      </c>
      <c r="F19" s="17">
        <v>0</v>
      </c>
      <c r="G19" s="9">
        <f t="shared" si="2"/>
        <v>221.375</v>
      </c>
      <c r="H19" s="26">
        <f t="shared" si="0"/>
        <v>206.72</v>
      </c>
      <c r="I19" s="9">
        <f t="shared" si="1"/>
        <v>230.07599999999999</v>
      </c>
      <c r="K19" s="3"/>
    </row>
    <row r="20" spans="1:12" x14ac:dyDescent="0.2">
      <c r="A20" s="6" t="s">
        <v>9</v>
      </c>
      <c r="B20" s="17">
        <v>236</v>
      </c>
      <c r="C20" s="7">
        <v>99.9</v>
      </c>
      <c r="D20" s="17">
        <v>89.5</v>
      </c>
      <c r="E20" s="7">
        <v>74</v>
      </c>
      <c r="F20" s="17">
        <v>0</v>
      </c>
      <c r="G20" s="9">
        <f t="shared" si="2"/>
        <v>246.125</v>
      </c>
      <c r="H20" s="26">
        <f t="shared" si="0"/>
        <v>224.96</v>
      </c>
      <c r="I20" s="9">
        <f t="shared" si="1"/>
        <v>251.74800000000002</v>
      </c>
    </row>
    <row r="21" spans="1:12" x14ac:dyDescent="0.2">
      <c r="A21" s="6" t="s">
        <v>10</v>
      </c>
      <c r="B21" s="17">
        <v>302</v>
      </c>
      <c r="C21" s="7">
        <v>102</v>
      </c>
      <c r="D21" s="17">
        <v>111</v>
      </c>
      <c r="E21" s="7">
        <v>86</v>
      </c>
      <c r="F21" s="17">
        <v>320</v>
      </c>
      <c r="G21" s="11">
        <v>320</v>
      </c>
      <c r="H21" s="26">
        <f>E21*3.04</f>
        <v>261.44</v>
      </c>
      <c r="I21" s="9">
        <f t="shared" si="1"/>
        <v>257.04000000000002</v>
      </c>
      <c r="L21" s="3"/>
    </row>
    <row r="22" spans="1:12" x14ac:dyDescent="0.2">
      <c r="A22" s="6" t="s">
        <v>11</v>
      </c>
      <c r="B22" s="17">
        <v>319</v>
      </c>
      <c r="C22" s="7">
        <v>111</v>
      </c>
      <c r="D22" s="17">
        <v>118.1</v>
      </c>
      <c r="E22" s="7">
        <v>97</v>
      </c>
      <c r="F22" s="17">
        <v>310</v>
      </c>
      <c r="G22" s="11">
        <v>310</v>
      </c>
      <c r="H22" s="21">
        <v>320</v>
      </c>
      <c r="I22" s="9">
        <f t="shared" si="1"/>
        <v>279.72000000000003</v>
      </c>
      <c r="K22" s="3"/>
      <c r="L22" s="4"/>
    </row>
    <row r="23" spans="1:12" x14ac:dyDescent="0.2">
      <c r="A23" s="6" t="s">
        <v>12</v>
      </c>
      <c r="B23" s="17">
        <v>357</v>
      </c>
      <c r="C23" s="7">
        <v>119.8</v>
      </c>
      <c r="D23" s="17">
        <v>0</v>
      </c>
      <c r="E23" s="7">
        <v>110</v>
      </c>
      <c r="F23" s="17">
        <v>0</v>
      </c>
      <c r="G23" s="12">
        <v>0</v>
      </c>
      <c r="H23" s="27">
        <v>310</v>
      </c>
      <c r="I23" s="9">
        <f t="shared" si="1"/>
        <v>301.89600000000002</v>
      </c>
      <c r="J23" s="1"/>
    </row>
    <row r="24" spans="1:12" x14ac:dyDescent="0.2">
      <c r="A24" s="6" t="s">
        <v>13</v>
      </c>
      <c r="B24" s="17">
        <v>378</v>
      </c>
      <c r="C24" s="7">
        <v>123.3</v>
      </c>
      <c r="D24" s="17">
        <v>0</v>
      </c>
      <c r="E24" s="7">
        <v>0</v>
      </c>
      <c r="F24" s="17">
        <v>0</v>
      </c>
      <c r="G24" s="12">
        <v>0</v>
      </c>
      <c r="H24" s="28">
        <v>0</v>
      </c>
      <c r="I24" s="9">
        <f t="shared" si="1"/>
        <v>310.71600000000001</v>
      </c>
    </row>
    <row r="25" spans="1:12" x14ac:dyDescent="0.2">
      <c r="A25" s="6" t="s">
        <v>14</v>
      </c>
      <c r="B25" s="17">
        <v>377</v>
      </c>
      <c r="C25" s="7">
        <v>116.1</v>
      </c>
      <c r="D25" s="17">
        <v>0</v>
      </c>
      <c r="E25" s="7">
        <v>0</v>
      </c>
      <c r="F25" s="17">
        <v>0</v>
      </c>
      <c r="G25" s="12">
        <v>0</v>
      </c>
      <c r="H25" s="28">
        <v>0</v>
      </c>
      <c r="I25" s="9">
        <f t="shared" si="1"/>
        <v>292.572</v>
      </c>
    </row>
    <row r="26" spans="1:12" x14ac:dyDescent="0.2">
      <c r="A26" s="6" t="s">
        <v>32</v>
      </c>
      <c r="B26" s="17">
        <v>0</v>
      </c>
      <c r="C26" s="7">
        <v>124.4</v>
      </c>
      <c r="D26" s="17">
        <v>0</v>
      </c>
      <c r="E26" s="7">
        <v>0</v>
      </c>
      <c r="F26" s="17">
        <v>0</v>
      </c>
      <c r="G26" s="12">
        <v>0</v>
      </c>
      <c r="H26" s="28">
        <v>0</v>
      </c>
      <c r="I26" s="9">
        <f t="shared" si="1"/>
        <v>313.488</v>
      </c>
    </row>
    <row r="27" spans="1:12" x14ac:dyDescent="0.2">
      <c r="A27" s="6" t="s">
        <v>33</v>
      </c>
      <c r="B27" s="17">
        <v>0</v>
      </c>
      <c r="C27" s="7">
        <v>119.5</v>
      </c>
      <c r="D27" s="17">
        <v>0</v>
      </c>
      <c r="E27" s="7">
        <v>0</v>
      </c>
      <c r="F27" s="17">
        <v>0</v>
      </c>
      <c r="G27" s="12">
        <v>0</v>
      </c>
      <c r="H27" s="28">
        <v>0</v>
      </c>
      <c r="I27" s="9">
        <f t="shared" si="1"/>
        <v>301.14</v>
      </c>
    </row>
    <row r="28" spans="1:12" x14ac:dyDescent="0.2">
      <c r="A28" s="6" t="s">
        <v>34</v>
      </c>
      <c r="B28" s="17">
        <v>0</v>
      </c>
      <c r="C28" s="7">
        <v>122.6</v>
      </c>
      <c r="D28" s="17">
        <v>0</v>
      </c>
      <c r="E28" s="7">
        <v>0</v>
      </c>
      <c r="F28" s="17">
        <v>0</v>
      </c>
      <c r="G28" s="12">
        <v>0</v>
      </c>
      <c r="H28" s="28">
        <v>0</v>
      </c>
      <c r="I28" s="9">
        <f t="shared" si="1"/>
        <v>308.952</v>
      </c>
    </row>
    <row r="29" spans="1:12" x14ac:dyDescent="0.2">
      <c r="A29" s="6" t="s">
        <v>35</v>
      </c>
      <c r="B29" s="17">
        <v>0</v>
      </c>
      <c r="C29" s="7">
        <v>123.8</v>
      </c>
      <c r="D29" s="17">
        <v>0</v>
      </c>
      <c r="E29" s="7">
        <v>0</v>
      </c>
      <c r="F29" s="17">
        <v>0</v>
      </c>
      <c r="G29" s="12">
        <v>0</v>
      </c>
      <c r="H29" s="28">
        <v>0</v>
      </c>
      <c r="I29" s="11">
        <v>320</v>
      </c>
    </row>
    <row r="30" spans="1:12" x14ac:dyDescent="0.2">
      <c r="A30" s="6" t="s">
        <v>36</v>
      </c>
      <c r="B30" s="17">
        <v>0</v>
      </c>
      <c r="C30" s="7">
        <v>126.2</v>
      </c>
      <c r="D30" s="17">
        <v>0</v>
      </c>
      <c r="E30" s="7">
        <v>0</v>
      </c>
      <c r="F30" s="17">
        <v>0</v>
      </c>
      <c r="G30" s="12">
        <v>0</v>
      </c>
      <c r="H30" s="28">
        <v>0</v>
      </c>
      <c r="I30" s="11">
        <v>310</v>
      </c>
    </row>
    <row r="31" spans="1:12" x14ac:dyDescent="0.2">
      <c r="A31" s="6" t="s">
        <v>15</v>
      </c>
      <c r="B31" s="17">
        <v>388</v>
      </c>
      <c r="C31" s="7">
        <v>130.4</v>
      </c>
      <c r="D31" s="17">
        <v>134</v>
      </c>
      <c r="E31" s="7">
        <v>124</v>
      </c>
      <c r="F31" s="17">
        <v>350</v>
      </c>
      <c r="G31" s="6">
        <v>350</v>
      </c>
      <c r="H31" s="29">
        <v>350</v>
      </c>
      <c r="I31" s="6">
        <v>350</v>
      </c>
    </row>
    <row r="32" spans="1:12" x14ac:dyDescent="0.2">
      <c r="A32" s="6" t="s">
        <v>16</v>
      </c>
      <c r="B32" s="17">
        <v>388</v>
      </c>
      <c r="C32" s="7">
        <v>133.9</v>
      </c>
      <c r="D32" s="17">
        <v>135.1</v>
      </c>
      <c r="E32" s="7">
        <v>140</v>
      </c>
      <c r="F32" s="17">
        <v>350</v>
      </c>
      <c r="G32" s="6">
        <v>350</v>
      </c>
      <c r="H32" s="29">
        <v>350</v>
      </c>
      <c r="I32" s="6">
        <v>350</v>
      </c>
    </row>
    <row r="33" spans="1:17" x14ac:dyDescent="0.2">
      <c r="A33" s="6" t="s">
        <v>17</v>
      </c>
      <c r="B33" s="17">
        <v>393</v>
      </c>
      <c r="C33" s="7">
        <v>131.6</v>
      </c>
      <c r="D33" s="17">
        <v>0</v>
      </c>
      <c r="E33" s="7">
        <v>144</v>
      </c>
      <c r="F33" s="17">
        <v>330</v>
      </c>
      <c r="G33" s="6">
        <v>330</v>
      </c>
      <c r="H33" s="29">
        <v>330</v>
      </c>
      <c r="I33" s="6">
        <v>330</v>
      </c>
      <c r="L33" s="1"/>
    </row>
    <row r="34" spans="1:17" x14ac:dyDescent="0.2">
      <c r="A34" s="6" t="s">
        <v>18</v>
      </c>
      <c r="B34" s="43">
        <v>398</v>
      </c>
      <c r="C34" s="7">
        <v>135.19999999999999</v>
      </c>
      <c r="D34" s="17">
        <v>0</v>
      </c>
      <c r="E34" s="7">
        <v>147</v>
      </c>
      <c r="F34" s="17">
        <v>360</v>
      </c>
      <c r="G34" s="6">
        <v>360</v>
      </c>
      <c r="H34" s="29">
        <v>360</v>
      </c>
      <c r="I34" s="6">
        <v>360</v>
      </c>
      <c r="L34" s="3"/>
      <c r="N34" s="3"/>
      <c r="O34" s="3"/>
      <c r="Q34" s="3"/>
    </row>
    <row r="35" spans="1:17" x14ac:dyDescent="0.2">
      <c r="A35" s="6" t="s">
        <v>19</v>
      </c>
      <c r="B35" s="43">
        <v>400</v>
      </c>
      <c r="C35" s="7">
        <v>133.9</v>
      </c>
      <c r="D35" s="17">
        <v>0</v>
      </c>
      <c r="E35" s="7">
        <v>150</v>
      </c>
      <c r="F35" s="17">
        <v>350</v>
      </c>
      <c r="G35" s="6">
        <v>350</v>
      </c>
      <c r="H35" s="29">
        <v>350</v>
      </c>
      <c r="I35" s="6">
        <v>350</v>
      </c>
      <c r="K35" s="3"/>
      <c r="M35" s="3"/>
    </row>
    <row r="36" spans="1:17" x14ac:dyDescent="0.2">
      <c r="A36" s="6" t="s">
        <v>20</v>
      </c>
      <c r="B36" s="43">
        <v>400</v>
      </c>
      <c r="C36" s="7">
        <v>147.30000000000001</v>
      </c>
      <c r="D36" s="17">
        <v>0</v>
      </c>
      <c r="E36" s="7">
        <v>154</v>
      </c>
      <c r="F36" s="17">
        <v>300</v>
      </c>
      <c r="G36" s="6">
        <v>300</v>
      </c>
      <c r="H36" s="29">
        <v>300</v>
      </c>
      <c r="I36" s="6">
        <v>300</v>
      </c>
      <c r="L36" s="1"/>
      <c r="M36" s="1"/>
    </row>
    <row r="37" spans="1:17" x14ac:dyDescent="0.2">
      <c r="A37" s="6" t="s">
        <v>21</v>
      </c>
      <c r="B37" s="43">
        <v>400</v>
      </c>
      <c r="C37" s="7">
        <v>130</v>
      </c>
      <c r="D37" s="17">
        <v>0</v>
      </c>
      <c r="E37" s="7">
        <v>157</v>
      </c>
      <c r="F37" s="17">
        <v>0</v>
      </c>
      <c r="G37" s="8">
        <f>B37*0.845</f>
        <v>338</v>
      </c>
      <c r="H37" s="25">
        <f>B37*0.845</f>
        <v>338</v>
      </c>
      <c r="I37" s="9">
        <f>C37*2.42</f>
        <v>314.59999999999997</v>
      </c>
      <c r="P37" s="3"/>
    </row>
    <row r="38" spans="1:17" x14ac:dyDescent="0.2">
      <c r="A38" s="6" t="s">
        <v>22</v>
      </c>
      <c r="B38" s="43">
        <v>405</v>
      </c>
      <c r="C38" s="7">
        <v>132.1</v>
      </c>
      <c r="D38" s="44">
        <v>0</v>
      </c>
      <c r="E38" s="7">
        <v>160</v>
      </c>
      <c r="F38" s="17">
        <v>0</v>
      </c>
      <c r="G38" s="9">
        <f t="shared" ref="G38:G39" si="3">B38*0.845</f>
        <v>342.22499999999997</v>
      </c>
      <c r="H38" s="26">
        <f t="shared" ref="H38:H39" si="4">B38*0.845</f>
        <v>342.22499999999997</v>
      </c>
      <c r="I38" s="9">
        <f>C38*2.42</f>
        <v>319.68199999999996</v>
      </c>
    </row>
    <row r="39" spans="1:17" x14ac:dyDescent="0.2">
      <c r="A39" s="6" t="s">
        <v>23</v>
      </c>
      <c r="B39" s="43">
        <v>382</v>
      </c>
      <c r="C39" s="7">
        <v>130.9</v>
      </c>
      <c r="D39" s="17">
        <v>0</v>
      </c>
      <c r="E39" s="7">
        <v>160</v>
      </c>
      <c r="F39" s="17">
        <v>0</v>
      </c>
      <c r="G39" s="9">
        <f t="shared" si="3"/>
        <v>322.78999999999996</v>
      </c>
      <c r="H39" s="26">
        <f t="shared" si="4"/>
        <v>322.78999999999996</v>
      </c>
      <c r="I39" s="9">
        <f>C39*2.42</f>
        <v>316.77800000000002</v>
      </c>
    </row>
    <row r="40" spans="1:17" x14ac:dyDescent="0.2">
      <c r="A40" s="6" t="s">
        <v>24</v>
      </c>
      <c r="B40" s="43">
        <v>398</v>
      </c>
      <c r="C40" s="7">
        <v>137.6</v>
      </c>
      <c r="D40" s="17">
        <v>0</v>
      </c>
      <c r="E40" s="7">
        <v>160</v>
      </c>
      <c r="F40" s="17">
        <v>320</v>
      </c>
      <c r="G40" s="6">
        <v>320</v>
      </c>
      <c r="H40" s="29">
        <v>320</v>
      </c>
      <c r="I40" s="6">
        <v>320</v>
      </c>
    </row>
    <row r="41" spans="1:17" x14ac:dyDescent="0.2">
      <c r="A41" s="6" t="s">
        <v>25</v>
      </c>
      <c r="B41" s="43">
        <v>398</v>
      </c>
      <c r="C41" s="7">
        <v>141.5</v>
      </c>
      <c r="D41" s="17">
        <v>0</v>
      </c>
      <c r="E41" s="7">
        <v>0</v>
      </c>
      <c r="F41" s="17">
        <v>310</v>
      </c>
      <c r="G41" s="6">
        <v>310</v>
      </c>
      <c r="H41" s="29">
        <v>310</v>
      </c>
      <c r="I41" s="6">
        <v>310</v>
      </c>
      <c r="N41" s="3"/>
    </row>
    <row r="42" spans="1:17" x14ac:dyDescent="0.2">
      <c r="A42" s="6" t="s">
        <v>26</v>
      </c>
      <c r="B42" s="17">
        <v>390</v>
      </c>
      <c r="C42" s="7">
        <v>143</v>
      </c>
      <c r="D42" s="17">
        <v>0</v>
      </c>
      <c r="E42" s="7">
        <v>0</v>
      </c>
      <c r="F42" s="17">
        <v>0</v>
      </c>
      <c r="G42" s="9">
        <f>B42*0.845</f>
        <v>329.55</v>
      </c>
      <c r="H42" s="26">
        <f>B42*0.845</f>
        <v>329.55</v>
      </c>
      <c r="I42" s="9">
        <f t="shared" ref="I42:I68" si="5">C42*2.42</f>
        <v>346.06</v>
      </c>
      <c r="N42" s="3"/>
    </row>
    <row r="43" spans="1:17" x14ac:dyDescent="0.2">
      <c r="A43" s="6" t="s">
        <v>27</v>
      </c>
      <c r="B43" s="17">
        <v>393</v>
      </c>
      <c r="C43" s="7">
        <v>138.69999999999999</v>
      </c>
      <c r="D43" s="17">
        <v>0</v>
      </c>
      <c r="E43" s="7">
        <v>0</v>
      </c>
      <c r="F43" s="17">
        <v>0</v>
      </c>
      <c r="G43" s="12">
        <v>0</v>
      </c>
      <c r="H43" s="26">
        <f t="shared" ref="H43:H45" si="6">B43*0.845</f>
        <v>332.08499999999998</v>
      </c>
      <c r="I43" s="9">
        <f t="shared" si="5"/>
        <v>335.65399999999994</v>
      </c>
    </row>
    <row r="44" spans="1:17" x14ac:dyDescent="0.2">
      <c r="A44" s="6" t="s">
        <v>28</v>
      </c>
      <c r="B44" s="17">
        <v>405</v>
      </c>
      <c r="C44" s="7">
        <v>143.30000000000001</v>
      </c>
      <c r="D44" s="17">
        <v>0</v>
      </c>
      <c r="E44" s="7">
        <v>0</v>
      </c>
      <c r="F44" s="17">
        <v>0</v>
      </c>
      <c r="G44" s="12">
        <v>0</v>
      </c>
      <c r="H44" s="26">
        <f t="shared" si="6"/>
        <v>342.22499999999997</v>
      </c>
      <c r="I44" s="9">
        <f t="shared" si="5"/>
        <v>346.786</v>
      </c>
      <c r="K44" s="3"/>
    </row>
    <row r="45" spans="1:17" x14ac:dyDescent="0.2">
      <c r="A45" s="6" t="s">
        <v>29</v>
      </c>
      <c r="B45" s="17">
        <v>385</v>
      </c>
      <c r="C45" s="7">
        <v>141.19999999999999</v>
      </c>
      <c r="D45" s="17">
        <v>0</v>
      </c>
      <c r="E45" s="7">
        <v>0</v>
      </c>
      <c r="F45" s="17">
        <v>0</v>
      </c>
      <c r="G45" s="12">
        <v>0</v>
      </c>
      <c r="H45" s="26">
        <f t="shared" si="6"/>
        <v>325.32499999999999</v>
      </c>
      <c r="I45" s="9">
        <f t="shared" si="5"/>
        <v>341.70399999999995</v>
      </c>
    </row>
    <row r="46" spans="1:17" x14ac:dyDescent="0.2">
      <c r="A46" s="6" t="s">
        <v>30</v>
      </c>
      <c r="B46" s="17">
        <v>0</v>
      </c>
      <c r="C46" s="7">
        <v>151.5</v>
      </c>
      <c r="D46" s="17">
        <v>0</v>
      </c>
      <c r="E46" s="7">
        <v>0</v>
      </c>
      <c r="F46" s="17">
        <v>0</v>
      </c>
      <c r="G46" s="12">
        <v>0</v>
      </c>
      <c r="H46" s="26">
        <f>B45/B44*H45</f>
        <v>309.25956790123456</v>
      </c>
      <c r="I46" s="9">
        <f t="shared" si="5"/>
        <v>366.63</v>
      </c>
    </row>
    <row r="47" spans="1:17" x14ac:dyDescent="0.2">
      <c r="A47" s="6" t="s">
        <v>31</v>
      </c>
      <c r="B47" s="17">
        <v>0</v>
      </c>
      <c r="C47" s="7">
        <v>142.5</v>
      </c>
      <c r="D47" s="17">
        <v>0</v>
      </c>
      <c r="E47" s="7">
        <v>0</v>
      </c>
      <c r="F47" s="17">
        <v>0</v>
      </c>
      <c r="G47" s="12">
        <v>0</v>
      </c>
      <c r="H47" s="28">
        <v>0</v>
      </c>
      <c r="I47" s="9">
        <f t="shared" si="5"/>
        <v>344.84999999999997</v>
      </c>
    </row>
    <row r="48" spans="1:17" x14ac:dyDescent="0.2">
      <c r="A48" s="6" t="s">
        <v>68</v>
      </c>
      <c r="B48" s="17">
        <v>405</v>
      </c>
      <c r="C48" s="7">
        <v>143</v>
      </c>
      <c r="D48" s="17">
        <v>0</v>
      </c>
      <c r="E48" s="7">
        <v>0</v>
      </c>
      <c r="F48" s="17">
        <v>0</v>
      </c>
      <c r="G48" s="9">
        <f>B48*0.845</f>
        <v>342.22499999999997</v>
      </c>
      <c r="H48" s="26">
        <f>B48*0.845</f>
        <v>342.22499999999997</v>
      </c>
      <c r="I48" s="9">
        <f t="shared" si="5"/>
        <v>346.06</v>
      </c>
      <c r="K48" s="3"/>
      <c r="L48" s="3"/>
    </row>
    <row r="49" spans="1:14" x14ac:dyDescent="0.2">
      <c r="A49" s="6" t="s">
        <v>69</v>
      </c>
      <c r="B49" s="17">
        <v>390</v>
      </c>
      <c r="C49" s="7">
        <v>152.6</v>
      </c>
      <c r="D49" s="17">
        <v>0</v>
      </c>
      <c r="E49" s="7">
        <v>0</v>
      </c>
      <c r="F49" s="17">
        <v>0</v>
      </c>
      <c r="G49" s="9">
        <f t="shared" ref="G49:G68" si="7">B49*0.845</f>
        <v>329.55</v>
      </c>
      <c r="H49" s="26">
        <f t="shared" ref="H49:H68" si="8">B49*0.845</f>
        <v>329.55</v>
      </c>
      <c r="I49" s="9">
        <f t="shared" si="5"/>
        <v>369.29199999999997</v>
      </c>
    </row>
    <row r="50" spans="1:14" x14ac:dyDescent="0.2">
      <c r="A50" s="6" t="s">
        <v>70</v>
      </c>
      <c r="B50" s="17">
        <v>385</v>
      </c>
      <c r="C50" s="7">
        <v>145.72999999999999</v>
      </c>
      <c r="D50" s="17">
        <v>0</v>
      </c>
      <c r="E50" s="7">
        <v>0</v>
      </c>
      <c r="F50" s="17">
        <v>0</v>
      </c>
      <c r="G50" s="9">
        <f t="shared" si="7"/>
        <v>325.32499999999999</v>
      </c>
      <c r="H50" s="26">
        <f t="shared" si="8"/>
        <v>325.32499999999999</v>
      </c>
      <c r="I50" s="9">
        <f t="shared" si="5"/>
        <v>352.66659999999996</v>
      </c>
    </row>
    <row r="51" spans="1:14" x14ac:dyDescent="0.2">
      <c r="A51" s="6" t="s">
        <v>71</v>
      </c>
      <c r="B51" s="17">
        <v>395</v>
      </c>
      <c r="C51" s="7">
        <v>143.30000000000001</v>
      </c>
      <c r="D51" s="17">
        <v>0</v>
      </c>
      <c r="E51" s="7">
        <v>0</v>
      </c>
      <c r="F51" s="17">
        <v>0</v>
      </c>
      <c r="G51" s="9">
        <f t="shared" si="7"/>
        <v>333.77499999999998</v>
      </c>
      <c r="H51" s="26">
        <f t="shared" si="8"/>
        <v>333.77499999999998</v>
      </c>
      <c r="I51" s="9">
        <f t="shared" si="5"/>
        <v>346.786</v>
      </c>
    </row>
    <row r="52" spans="1:14" x14ac:dyDescent="0.2">
      <c r="A52" s="6" t="s">
        <v>72</v>
      </c>
      <c r="B52" s="17">
        <v>385</v>
      </c>
      <c r="C52" s="7">
        <v>149.51</v>
      </c>
      <c r="D52" s="22">
        <v>0</v>
      </c>
      <c r="E52" s="13">
        <v>0</v>
      </c>
      <c r="F52" s="22">
        <v>0</v>
      </c>
      <c r="G52" s="9">
        <f t="shared" si="7"/>
        <v>325.32499999999999</v>
      </c>
      <c r="H52" s="26">
        <f t="shared" si="8"/>
        <v>325.32499999999999</v>
      </c>
      <c r="I52" s="9">
        <f t="shared" si="5"/>
        <v>361.81419999999997</v>
      </c>
    </row>
    <row r="53" spans="1:14" x14ac:dyDescent="0.2">
      <c r="A53" s="6" t="s">
        <v>73</v>
      </c>
      <c r="B53" s="17">
        <v>380</v>
      </c>
      <c r="C53" s="10">
        <f>B53/B52*C52</f>
        <v>147.56831168831167</v>
      </c>
      <c r="D53" s="23">
        <v>0</v>
      </c>
      <c r="E53" s="14">
        <v>0</v>
      </c>
      <c r="F53" s="22">
        <v>0</v>
      </c>
      <c r="G53" s="9">
        <f t="shared" si="7"/>
        <v>321.09999999999997</v>
      </c>
      <c r="H53" s="26">
        <f t="shared" si="8"/>
        <v>321.09999999999997</v>
      </c>
      <c r="I53" s="9">
        <f t="shared" si="5"/>
        <v>357.11531428571425</v>
      </c>
    </row>
    <row r="54" spans="1:14" x14ac:dyDescent="0.2">
      <c r="A54" s="6" t="s">
        <v>74</v>
      </c>
      <c r="B54" s="17">
        <v>380</v>
      </c>
      <c r="C54" s="7">
        <v>136</v>
      </c>
      <c r="D54" s="22">
        <v>0</v>
      </c>
      <c r="E54" s="13">
        <v>0</v>
      </c>
      <c r="F54" s="22">
        <v>0</v>
      </c>
      <c r="G54" s="9">
        <f t="shared" si="7"/>
        <v>321.09999999999997</v>
      </c>
      <c r="H54" s="26">
        <f t="shared" si="8"/>
        <v>321.09999999999997</v>
      </c>
      <c r="I54" s="9">
        <f t="shared" si="5"/>
        <v>329.12</v>
      </c>
    </row>
    <row r="55" spans="1:14" x14ac:dyDescent="0.2">
      <c r="A55" s="6" t="s">
        <v>75</v>
      </c>
      <c r="B55" s="17">
        <v>370</v>
      </c>
      <c r="C55" s="7">
        <v>132</v>
      </c>
      <c r="D55" s="22">
        <v>0</v>
      </c>
      <c r="E55" s="13">
        <v>0</v>
      </c>
      <c r="F55" s="22">
        <v>0</v>
      </c>
      <c r="G55" s="9">
        <f t="shared" si="7"/>
        <v>312.64999999999998</v>
      </c>
      <c r="H55" s="26">
        <f t="shared" si="8"/>
        <v>312.64999999999998</v>
      </c>
      <c r="I55" s="9">
        <f t="shared" si="5"/>
        <v>319.44</v>
      </c>
    </row>
    <row r="56" spans="1:14" x14ac:dyDescent="0.2">
      <c r="A56" s="6" t="s">
        <v>76</v>
      </c>
      <c r="B56" s="17">
        <v>358</v>
      </c>
      <c r="C56" s="7">
        <v>134</v>
      </c>
      <c r="D56" s="22">
        <v>0</v>
      </c>
      <c r="E56" s="13">
        <v>0</v>
      </c>
      <c r="F56" s="22">
        <v>0</v>
      </c>
      <c r="G56" s="9">
        <f t="shared" si="7"/>
        <v>302.51</v>
      </c>
      <c r="H56" s="26">
        <f t="shared" si="8"/>
        <v>302.51</v>
      </c>
      <c r="I56" s="9">
        <f t="shared" si="5"/>
        <v>324.27999999999997</v>
      </c>
    </row>
    <row r="57" spans="1:14" x14ac:dyDescent="0.2">
      <c r="A57" s="6" t="s">
        <v>77</v>
      </c>
      <c r="B57" s="17">
        <v>340</v>
      </c>
      <c r="C57" s="7">
        <v>126</v>
      </c>
      <c r="D57" s="22">
        <v>0</v>
      </c>
      <c r="E57" s="13">
        <v>0</v>
      </c>
      <c r="F57" s="22">
        <v>0</v>
      </c>
      <c r="G57" s="9">
        <f t="shared" si="7"/>
        <v>287.3</v>
      </c>
      <c r="H57" s="26">
        <f t="shared" si="8"/>
        <v>287.3</v>
      </c>
      <c r="I57" s="9">
        <f t="shared" si="5"/>
        <v>304.92</v>
      </c>
    </row>
    <row r="58" spans="1:14" x14ac:dyDescent="0.2">
      <c r="A58" s="6" t="s">
        <v>78</v>
      </c>
      <c r="B58" s="17">
        <v>315</v>
      </c>
      <c r="C58" s="10">
        <f>B58/B57*C57</f>
        <v>116.73529411764706</v>
      </c>
      <c r="D58" s="23">
        <v>0</v>
      </c>
      <c r="E58" s="14">
        <v>0</v>
      </c>
      <c r="F58" s="22">
        <v>0</v>
      </c>
      <c r="G58" s="9">
        <f t="shared" si="7"/>
        <v>266.17500000000001</v>
      </c>
      <c r="H58" s="26">
        <f t="shared" si="8"/>
        <v>266.17500000000001</v>
      </c>
      <c r="I58" s="9">
        <f t="shared" si="5"/>
        <v>282.49941176470588</v>
      </c>
    </row>
    <row r="59" spans="1:14" x14ac:dyDescent="0.2">
      <c r="A59" s="6" t="s">
        <v>79</v>
      </c>
      <c r="B59" s="17">
        <v>273</v>
      </c>
      <c r="C59" s="10">
        <f t="shared" ref="C59:C68" si="9">B59/B58*C58</f>
        <v>101.17058823529412</v>
      </c>
      <c r="D59" s="23">
        <v>0</v>
      </c>
      <c r="E59" s="14">
        <v>0</v>
      </c>
      <c r="F59" s="22">
        <v>0</v>
      </c>
      <c r="G59" s="9">
        <f t="shared" si="7"/>
        <v>230.685</v>
      </c>
      <c r="H59" s="26">
        <f t="shared" si="8"/>
        <v>230.685</v>
      </c>
      <c r="I59" s="9">
        <f t="shared" si="5"/>
        <v>244.83282352941177</v>
      </c>
    </row>
    <row r="60" spans="1:14" x14ac:dyDescent="0.2">
      <c r="A60" s="6" t="s">
        <v>80</v>
      </c>
      <c r="B60" s="17">
        <v>261</v>
      </c>
      <c r="C60" s="10">
        <f t="shared" si="9"/>
        <v>96.723529411764716</v>
      </c>
      <c r="D60" s="23">
        <v>0</v>
      </c>
      <c r="E60" s="14">
        <v>0</v>
      </c>
      <c r="F60" s="22">
        <v>0</v>
      </c>
      <c r="G60" s="9">
        <f t="shared" si="7"/>
        <v>220.54499999999999</v>
      </c>
      <c r="H60" s="26">
        <f t="shared" si="8"/>
        <v>220.54499999999999</v>
      </c>
      <c r="I60" s="9">
        <f t="shared" si="5"/>
        <v>234.0709411764706</v>
      </c>
      <c r="K60" s="3"/>
      <c r="L60" s="2"/>
    </row>
    <row r="61" spans="1:14" x14ac:dyDescent="0.2">
      <c r="A61" s="6" t="s">
        <v>81</v>
      </c>
      <c r="B61" s="17">
        <v>215</v>
      </c>
      <c r="C61" s="10">
        <f t="shared" si="9"/>
        <v>79.676470588235304</v>
      </c>
      <c r="D61" s="23">
        <v>0</v>
      </c>
      <c r="E61" s="14">
        <v>0</v>
      </c>
      <c r="F61" s="22">
        <v>0</v>
      </c>
      <c r="G61" s="9">
        <f t="shared" si="7"/>
        <v>181.67499999999998</v>
      </c>
      <c r="H61" s="26">
        <f t="shared" si="8"/>
        <v>181.67499999999998</v>
      </c>
      <c r="I61" s="9">
        <f t="shared" si="5"/>
        <v>192.81705882352944</v>
      </c>
      <c r="L61" s="4"/>
    </row>
    <row r="62" spans="1:14" x14ac:dyDescent="0.2">
      <c r="A62" s="6" t="s">
        <v>82</v>
      </c>
      <c r="B62" s="17">
        <v>147</v>
      </c>
      <c r="C62" s="10">
        <f t="shared" si="9"/>
        <v>54.476470588235294</v>
      </c>
      <c r="D62" s="23">
        <v>0</v>
      </c>
      <c r="E62" s="14">
        <v>0</v>
      </c>
      <c r="F62" s="22">
        <v>0</v>
      </c>
      <c r="G62" s="9">
        <f t="shared" si="7"/>
        <v>124.21499999999999</v>
      </c>
      <c r="H62" s="26">
        <f t="shared" si="8"/>
        <v>124.21499999999999</v>
      </c>
      <c r="I62" s="9">
        <f t="shared" si="5"/>
        <v>131.8330588235294</v>
      </c>
    </row>
    <row r="63" spans="1:14" x14ac:dyDescent="0.2">
      <c r="A63" s="6" t="s">
        <v>83</v>
      </c>
      <c r="B63" s="17">
        <v>92</v>
      </c>
      <c r="C63" s="10">
        <f t="shared" si="9"/>
        <v>34.094117647058823</v>
      </c>
      <c r="D63" s="23">
        <v>0</v>
      </c>
      <c r="E63" s="14">
        <v>0</v>
      </c>
      <c r="F63" s="22">
        <v>0</v>
      </c>
      <c r="G63" s="9">
        <f t="shared" si="7"/>
        <v>77.739999999999995</v>
      </c>
      <c r="H63" s="26">
        <f t="shared" si="8"/>
        <v>77.739999999999995</v>
      </c>
      <c r="I63" s="9">
        <f t="shared" si="5"/>
        <v>82.507764705882352</v>
      </c>
      <c r="N63" s="1"/>
    </row>
    <row r="64" spans="1:14" x14ac:dyDescent="0.2">
      <c r="A64" s="6" t="s">
        <v>84</v>
      </c>
      <c r="B64" s="17">
        <v>71</v>
      </c>
      <c r="C64" s="10">
        <f t="shared" si="9"/>
        <v>26.311764705882354</v>
      </c>
      <c r="D64" s="23">
        <v>0</v>
      </c>
      <c r="E64" s="14">
        <v>0</v>
      </c>
      <c r="F64" s="22">
        <v>0</v>
      </c>
      <c r="G64" s="9">
        <f t="shared" si="7"/>
        <v>59.994999999999997</v>
      </c>
      <c r="H64" s="26">
        <f t="shared" si="8"/>
        <v>59.994999999999997</v>
      </c>
      <c r="I64" s="9">
        <f t="shared" si="5"/>
        <v>63.674470588235295</v>
      </c>
    </row>
    <row r="65" spans="1:12" x14ac:dyDescent="0.2">
      <c r="A65" s="6" t="s">
        <v>85</v>
      </c>
      <c r="B65" s="17">
        <v>62.5</v>
      </c>
      <c r="C65" s="10">
        <f t="shared" si="9"/>
        <v>23.161764705882355</v>
      </c>
      <c r="D65" s="23">
        <v>0</v>
      </c>
      <c r="E65" s="14">
        <v>0</v>
      </c>
      <c r="F65" s="22">
        <v>0</v>
      </c>
      <c r="G65" s="9">
        <f t="shared" si="7"/>
        <v>52.8125</v>
      </c>
      <c r="H65" s="26">
        <f t="shared" si="8"/>
        <v>52.8125</v>
      </c>
      <c r="I65" s="9">
        <f t="shared" si="5"/>
        <v>56.051470588235297</v>
      </c>
    </row>
    <row r="66" spans="1:12" x14ac:dyDescent="0.2">
      <c r="A66" s="6" t="s">
        <v>86</v>
      </c>
      <c r="B66" s="17">
        <v>66.5</v>
      </c>
      <c r="C66" s="10">
        <f t="shared" si="9"/>
        <v>24.644117647058827</v>
      </c>
      <c r="D66" s="23">
        <v>0</v>
      </c>
      <c r="E66" s="14">
        <v>0</v>
      </c>
      <c r="F66" s="22">
        <v>0</v>
      </c>
      <c r="G66" s="9">
        <f t="shared" si="7"/>
        <v>56.192499999999995</v>
      </c>
      <c r="H66" s="26">
        <f t="shared" si="8"/>
        <v>56.192499999999995</v>
      </c>
      <c r="I66" s="9">
        <f t="shared" si="5"/>
        <v>59.638764705882359</v>
      </c>
    </row>
    <row r="67" spans="1:12" x14ac:dyDescent="0.2">
      <c r="A67" s="6" t="s">
        <v>87</v>
      </c>
      <c r="B67" s="17">
        <v>55.5</v>
      </c>
      <c r="C67" s="10">
        <f t="shared" si="9"/>
        <v>20.567647058823532</v>
      </c>
      <c r="D67" s="23">
        <v>0</v>
      </c>
      <c r="E67" s="14">
        <v>0</v>
      </c>
      <c r="F67" s="22">
        <v>0</v>
      </c>
      <c r="G67" s="9">
        <f t="shared" si="7"/>
        <v>46.897500000000001</v>
      </c>
      <c r="H67" s="26">
        <f t="shared" si="8"/>
        <v>46.897500000000001</v>
      </c>
      <c r="I67" s="9">
        <f t="shared" si="5"/>
        <v>49.773705882352942</v>
      </c>
    </row>
    <row r="68" spans="1:12" x14ac:dyDescent="0.2">
      <c r="A68" s="6" t="s">
        <v>88</v>
      </c>
      <c r="B68" s="30">
        <v>42</v>
      </c>
      <c r="C68" s="31">
        <f t="shared" si="9"/>
        <v>15.564705882352944</v>
      </c>
      <c r="D68" s="32">
        <v>0</v>
      </c>
      <c r="E68" s="33">
        <v>0</v>
      </c>
      <c r="F68" s="34">
        <v>0</v>
      </c>
      <c r="G68" s="35">
        <f t="shared" si="7"/>
        <v>35.49</v>
      </c>
      <c r="H68" s="36">
        <f t="shared" si="8"/>
        <v>35.49</v>
      </c>
      <c r="I68" s="35">
        <f t="shared" si="5"/>
        <v>37.666588235294121</v>
      </c>
    </row>
    <row r="69" spans="1:12" ht="19" x14ac:dyDescent="0.25">
      <c r="A69" s="76" t="s">
        <v>56</v>
      </c>
      <c r="B69" s="76"/>
      <c r="C69" s="76"/>
      <c r="D69" s="76"/>
      <c r="E69" s="76"/>
      <c r="F69" s="76"/>
      <c r="G69" s="76"/>
      <c r="H69" s="76"/>
      <c r="I69" s="76"/>
    </row>
    <row r="70" spans="1:12" x14ac:dyDescent="0.2">
      <c r="A70" s="37" t="s">
        <v>44</v>
      </c>
      <c r="B70" s="38">
        <f>B3</f>
        <v>1248</v>
      </c>
      <c r="C70" s="39">
        <f>C3</f>
        <v>1170</v>
      </c>
      <c r="D70" s="40"/>
      <c r="E70" s="39"/>
      <c r="F70" s="41"/>
      <c r="G70" s="42">
        <f>G3</f>
        <v>1500</v>
      </c>
      <c r="H70" s="41">
        <f>H3</f>
        <v>1500</v>
      </c>
      <c r="I70" s="39">
        <f>I3</f>
        <v>1500</v>
      </c>
    </row>
    <row r="71" spans="1:12" x14ac:dyDescent="0.2">
      <c r="A71" s="5" t="s">
        <v>46</v>
      </c>
      <c r="B71" s="19">
        <f>SUM(B4:B10)</f>
        <v>413.7</v>
      </c>
      <c r="C71" s="7">
        <f>SUM(C4:C10)</f>
        <v>348</v>
      </c>
      <c r="D71" s="17"/>
      <c r="E71" s="7"/>
      <c r="F71" s="17"/>
      <c r="G71" s="15">
        <f>SUM(G4:G10)</f>
        <v>497.23557692307691</v>
      </c>
      <c r="H71" s="19">
        <f>SUM(H4:H10)</f>
        <v>497.23557692307691</v>
      </c>
      <c r="I71" s="15">
        <f>SUM(I4:I10)</f>
        <v>446.15384615384619</v>
      </c>
    </row>
    <row r="72" spans="1:12" x14ac:dyDescent="0.2">
      <c r="A72" s="5" t="s">
        <v>47</v>
      </c>
      <c r="B72" s="17">
        <f>SUM(B11:B30)</f>
        <v>3036</v>
      </c>
      <c r="C72" s="15">
        <f>SUM(C11:C30)</f>
        <v>2005.6899999999996</v>
      </c>
      <c r="D72" s="19"/>
      <c r="E72" s="15"/>
      <c r="F72" s="17"/>
      <c r="G72" s="15">
        <f>SUM(G11:G22)</f>
        <v>2536.3000000000002</v>
      </c>
      <c r="H72" s="19">
        <f>SUM(H11:H23)</f>
        <v>2493.4579591836737</v>
      </c>
      <c r="I72" s="15">
        <f>SUM(I11:I30)</f>
        <v>5054.3387999999995</v>
      </c>
    </row>
    <row r="73" spans="1:12" x14ac:dyDescent="0.2">
      <c r="A73" s="5" t="s">
        <v>48</v>
      </c>
      <c r="B73" s="17">
        <f>SUM(B31:B47)</f>
        <v>5923</v>
      </c>
      <c r="C73" s="15">
        <f>SUM(C31:C47)</f>
        <v>2344.6</v>
      </c>
      <c r="D73" s="19"/>
      <c r="E73" s="15"/>
      <c r="F73" s="20"/>
      <c r="G73" s="15">
        <f>SUM(G31:G42)</f>
        <v>4002.5650000000001</v>
      </c>
      <c r="H73" s="19">
        <f>SUM(H31:H46)</f>
        <v>5311.4595679012345</v>
      </c>
      <c r="I73" s="15">
        <f>SUM(I31:I47)</f>
        <v>5702.7439999999997</v>
      </c>
    </row>
    <row r="74" spans="1:12" x14ac:dyDescent="0.2">
      <c r="A74" s="5" t="s">
        <v>49</v>
      </c>
      <c r="B74" s="19">
        <f>SUM(B48:B68)</f>
        <v>5388.5</v>
      </c>
      <c r="C74" s="15">
        <f>SUM(C48:C68)</f>
        <v>2002.8347822765472</v>
      </c>
      <c r="D74" s="19"/>
      <c r="E74" s="15"/>
      <c r="F74" s="17"/>
      <c r="G74" s="15">
        <f>SUM(G48:G68)</f>
        <v>4553.2825000000003</v>
      </c>
      <c r="H74" s="19">
        <f>SUM(H48:H68)</f>
        <v>4553.2825000000003</v>
      </c>
      <c r="I74" s="15">
        <f>SUM(I48:I68)</f>
        <v>4846.8601731092449</v>
      </c>
    </row>
    <row r="75" spans="1:12" x14ac:dyDescent="0.2">
      <c r="A75" s="46" t="s">
        <v>45</v>
      </c>
      <c r="B75" s="47">
        <f>SUM(B70:B74)</f>
        <v>16009.2</v>
      </c>
      <c r="C75" s="48">
        <f>SUM(C70:C74)</f>
        <v>7871.1247822765463</v>
      </c>
      <c r="D75" s="47"/>
      <c r="E75" s="48"/>
      <c r="F75" s="30"/>
      <c r="G75" s="48">
        <f>SUM(G70:G74)</f>
        <v>13089.383076923077</v>
      </c>
      <c r="H75" s="47">
        <f>SUM(H70:H74)</f>
        <v>14355.435604007987</v>
      </c>
      <c r="I75" s="48">
        <f t="shared" ref="I75" si="10">SUM(I70:I74)</f>
        <v>17550.09681926309</v>
      </c>
    </row>
    <row r="76" spans="1:12" ht="19" x14ac:dyDescent="0.25">
      <c r="A76" s="76" t="s">
        <v>60</v>
      </c>
      <c r="B76" s="76"/>
      <c r="C76" s="76"/>
      <c r="D76" s="76"/>
      <c r="E76" s="76"/>
      <c r="F76" s="76"/>
      <c r="G76" s="76"/>
      <c r="H76" s="76"/>
      <c r="I76" s="76"/>
    </row>
    <row r="77" spans="1:12" x14ac:dyDescent="0.2">
      <c r="A77" s="37" t="s">
        <v>53</v>
      </c>
      <c r="B77" s="38">
        <f>B3*1.03</f>
        <v>1285.44</v>
      </c>
      <c r="C77" s="39">
        <f>C3*1.03</f>
        <v>1205.1000000000001</v>
      </c>
      <c r="D77" s="38"/>
      <c r="E77" s="39"/>
      <c r="F77" s="41"/>
      <c r="G77" s="42">
        <f>G70*1.03</f>
        <v>1545</v>
      </c>
      <c r="H77" s="41">
        <f>H70*1.03</f>
        <v>1545</v>
      </c>
      <c r="I77" s="39">
        <f>I3*1.03</f>
        <v>1545</v>
      </c>
    </row>
    <row r="78" spans="1:12" x14ac:dyDescent="0.2">
      <c r="A78" s="5" t="s">
        <v>54</v>
      </c>
      <c r="B78" s="19">
        <f>SUM(B71:B74)*1.15</f>
        <v>16975.38</v>
      </c>
      <c r="C78" s="15">
        <f>SUM(C71:C74)*1.15</f>
        <v>7706.2934996180275</v>
      </c>
      <c r="D78" s="19"/>
      <c r="E78" s="15"/>
      <c r="F78" s="17"/>
      <c r="G78" s="15">
        <f>SUM(G71:G74)*1.15</f>
        <v>13327.790538461537</v>
      </c>
      <c r="H78" s="19">
        <f>SUM(H71:H74)*1.15</f>
        <v>14783.750944609184</v>
      </c>
      <c r="I78" s="15">
        <f>SUM(I71:I74)*1.15</f>
        <v>18457.611342152552</v>
      </c>
      <c r="L78" s="3"/>
    </row>
    <row r="79" spans="1:12" x14ac:dyDescent="0.2">
      <c r="A79" s="5" t="s">
        <v>55</v>
      </c>
      <c r="B79" s="17">
        <v>400</v>
      </c>
      <c r="C79" s="7">
        <v>200</v>
      </c>
      <c r="D79" s="17"/>
      <c r="E79" s="7"/>
      <c r="F79" s="17"/>
      <c r="G79" s="7">
        <v>400</v>
      </c>
      <c r="H79" s="17">
        <v>400</v>
      </c>
      <c r="I79" s="7">
        <v>450</v>
      </c>
    </row>
    <row r="80" spans="1:12" x14ac:dyDescent="0.2">
      <c r="A80" s="5" t="s">
        <v>57</v>
      </c>
      <c r="B80" s="20">
        <f>(B78-SUM(B71:B74))/57</f>
        <v>38.845263157894742</v>
      </c>
      <c r="C80" s="16">
        <f>(C78-SUM(C71:C74))/64</f>
        <v>15.705761208460643</v>
      </c>
      <c r="D80" s="24"/>
      <c r="E80" s="18"/>
      <c r="F80" s="17"/>
      <c r="G80" s="16">
        <f>(G78-SUM(G71:G74))/51</f>
        <v>34.086420814479602</v>
      </c>
      <c r="H80" s="20">
        <f>(H78-SUM(H71:H74))/56</f>
        <v>34.434202510735659</v>
      </c>
      <c r="I80" s="16">
        <f>(I78-SUM(I71:I74))/64</f>
        <v>37.617414420147838</v>
      </c>
    </row>
    <row r="81" spans="1:12" x14ac:dyDescent="0.2">
      <c r="A81" s="5" t="s">
        <v>58</v>
      </c>
      <c r="B81" s="19">
        <f>SUM(B77:B79)</f>
        <v>18660.82</v>
      </c>
      <c r="C81" s="15">
        <f>SUM(C77:C79)</f>
        <v>9111.3934996180269</v>
      </c>
      <c r="D81" s="19"/>
      <c r="E81" s="15"/>
      <c r="F81" s="17"/>
      <c r="G81" s="15">
        <f>SUM(G77:G79)</f>
        <v>15272.790538461537</v>
      </c>
      <c r="H81" s="19">
        <f>SUM(H77:H79)</f>
        <v>16728.750944609186</v>
      </c>
      <c r="I81" s="15">
        <f>SUM(I77:I79)</f>
        <v>20452.611342152552</v>
      </c>
    </row>
    <row r="82" spans="1:12" x14ac:dyDescent="0.2">
      <c r="A82" s="46" t="s">
        <v>59</v>
      </c>
      <c r="B82" s="49">
        <f>B81*0.98</f>
        <v>18287.603599999999</v>
      </c>
      <c r="C82" s="50">
        <f t="shared" ref="C82:I82" si="11">C81*0.98</f>
        <v>8929.165629625666</v>
      </c>
      <c r="D82" s="49"/>
      <c r="E82" s="50"/>
      <c r="F82" s="49"/>
      <c r="G82" s="50">
        <f t="shared" si="11"/>
        <v>14967.334727692305</v>
      </c>
      <c r="H82" s="49">
        <f t="shared" si="11"/>
        <v>16394.175925717002</v>
      </c>
      <c r="I82" s="50">
        <f t="shared" si="11"/>
        <v>20043.559115309501</v>
      </c>
      <c r="J82" s="3"/>
      <c r="L82" s="3"/>
    </row>
    <row r="83" spans="1:12" ht="19" x14ac:dyDescent="0.25">
      <c r="A83" s="77" t="s">
        <v>66</v>
      </c>
      <c r="B83" s="77"/>
      <c r="C83" s="77"/>
      <c r="D83" s="77"/>
      <c r="E83" s="77"/>
      <c r="F83" s="77"/>
      <c r="G83" s="77"/>
      <c r="H83" s="77"/>
      <c r="I83" s="77"/>
    </row>
    <row r="84" spans="1:12" x14ac:dyDescent="0.2">
      <c r="A84" s="37" t="s">
        <v>50</v>
      </c>
      <c r="B84" s="51">
        <f>AVERAGE(B24:B25)</f>
        <v>377.5</v>
      </c>
      <c r="C84" s="52">
        <f>AVERAGE(C29:C30)</f>
        <v>125</v>
      </c>
      <c r="D84" s="41">
        <f>AVERAGE(D21:D22)</f>
        <v>114.55</v>
      </c>
      <c r="E84" s="42">
        <f>AVERAGE(E22:E23)</f>
        <v>103.5</v>
      </c>
      <c r="F84" s="51">
        <f>AVERAGE(F21:F22)</f>
        <v>315</v>
      </c>
      <c r="G84" s="42"/>
      <c r="H84" s="41"/>
      <c r="I84" s="42"/>
    </row>
    <row r="85" spans="1:12" x14ac:dyDescent="0.2">
      <c r="A85" s="5" t="s">
        <v>51</v>
      </c>
      <c r="B85" s="20">
        <f>AVERAGE(B31:B45)</f>
        <v>394.86666666666667</v>
      </c>
      <c r="C85" s="16">
        <f>AVERAGE(C31:C47)</f>
        <v>137.91764705882352</v>
      </c>
      <c r="D85" s="20">
        <f>AVERAGE(D31:D32)</f>
        <v>134.55000000000001</v>
      </c>
      <c r="E85" s="16">
        <f>AVERAGE(E31:E40)</f>
        <v>149.6</v>
      </c>
      <c r="F85" s="20">
        <f>SUM(F31:F41)/8</f>
        <v>333.75</v>
      </c>
      <c r="G85" s="42"/>
      <c r="H85" s="20"/>
      <c r="I85" s="7"/>
    </row>
    <row r="86" spans="1:12" x14ac:dyDescent="0.2">
      <c r="A86" s="64" t="s">
        <v>97</v>
      </c>
      <c r="B86" s="65">
        <f>F84/B84</f>
        <v>0.83443708609271527</v>
      </c>
      <c r="C86" s="66">
        <f>F84/C84</f>
        <v>2.52</v>
      </c>
      <c r="D86" s="67">
        <f>F84/D84</f>
        <v>2.7498908773461372</v>
      </c>
      <c r="E86" s="66">
        <f>F84/E84</f>
        <v>3.0434782608695654</v>
      </c>
      <c r="F86" s="30" t="s">
        <v>52</v>
      </c>
      <c r="G86" s="45"/>
      <c r="H86" s="30"/>
      <c r="I86" s="45"/>
    </row>
    <row r="87" spans="1:12" x14ac:dyDescent="0.2">
      <c r="A87" s="70" t="s">
        <v>98</v>
      </c>
      <c r="B87" s="69">
        <f>F85/B85</f>
        <v>0.84522201587033596</v>
      </c>
      <c r="C87" s="71">
        <f>F85/C85</f>
        <v>2.4199223748187326</v>
      </c>
      <c r="D87" s="72">
        <f>F85/D85</f>
        <v>2.4804905239687844</v>
      </c>
      <c r="E87" s="71">
        <f>F85/E85</f>
        <v>2.2309491978609626</v>
      </c>
      <c r="F87" s="73" t="s">
        <v>52</v>
      </c>
      <c r="G87" s="74"/>
      <c r="H87" s="73"/>
      <c r="I87" s="74"/>
    </row>
    <row r="89" spans="1:12" x14ac:dyDescent="0.2">
      <c r="A89" s="56" t="s">
        <v>89</v>
      </c>
      <c r="H89" s="68"/>
    </row>
    <row r="90" spans="1:12" x14ac:dyDescent="0.2">
      <c r="A90" s="58" t="s">
        <v>99</v>
      </c>
      <c r="B90" s="59"/>
      <c r="C90" s="59"/>
      <c r="D90" s="59"/>
    </row>
    <row r="91" spans="1:12" x14ac:dyDescent="0.2">
      <c r="A91" s="58" t="s">
        <v>96</v>
      </c>
      <c r="B91" s="59"/>
      <c r="C91" s="59"/>
      <c r="D91" s="59"/>
    </row>
    <row r="92" spans="1:12" x14ac:dyDescent="0.2">
      <c r="A92" s="58" t="s">
        <v>104</v>
      </c>
      <c r="B92" s="59"/>
      <c r="C92" s="59"/>
      <c r="D92" s="59"/>
    </row>
    <row r="93" spans="1:12" x14ac:dyDescent="0.2">
      <c r="A93" s="58" t="s">
        <v>105</v>
      </c>
    </row>
    <row r="94" spans="1:12" x14ac:dyDescent="0.2">
      <c r="A94" s="58" t="s">
        <v>103</v>
      </c>
    </row>
    <row r="95" spans="1:12" x14ac:dyDescent="0.2">
      <c r="A95" s="60" t="s">
        <v>106</v>
      </c>
    </row>
    <row r="96" spans="1:12" x14ac:dyDescent="0.2">
      <c r="A96" s="60" t="s">
        <v>109</v>
      </c>
    </row>
    <row r="97" spans="1:1" x14ac:dyDescent="0.2">
      <c r="A97" s="58" t="s">
        <v>110</v>
      </c>
    </row>
    <row r="98" spans="1:1" x14ac:dyDescent="0.2">
      <c r="A98" s="58" t="s">
        <v>108</v>
      </c>
    </row>
    <row r="99" spans="1:1" x14ac:dyDescent="0.2">
      <c r="A99" s="58" t="s">
        <v>111</v>
      </c>
    </row>
    <row r="100" spans="1:1" x14ac:dyDescent="0.2">
      <c r="A100" s="57"/>
    </row>
    <row r="101" spans="1:1" x14ac:dyDescent="0.2">
      <c r="A101" s="56" t="s">
        <v>90</v>
      </c>
    </row>
    <row r="102" spans="1:1" x14ac:dyDescent="0.2">
      <c r="A102" s="62" t="s">
        <v>95</v>
      </c>
    </row>
    <row r="103" spans="1:1" x14ac:dyDescent="0.2">
      <c r="A103" s="62" t="s">
        <v>92</v>
      </c>
    </row>
    <row r="104" spans="1:1" x14ac:dyDescent="0.2">
      <c r="A104" s="63" t="s">
        <v>94</v>
      </c>
    </row>
    <row r="105" spans="1:1" x14ac:dyDescent="0.2">
      <c r="A105" s="61" t="s">
        <v>93</v>
      </c>
    </row>
    <row r="106" spans="1:1" x14ac:dyDescent="0.2">
      <c r="A106" s="62" t="s">
        <v>91</v>
      </c>
    </row>
    <row r="107" spans="1:1" x14ac:dyDescent="0.2">
      <c r="A107" s="57"/>
    </row>
  </sheetData>
  <mergeCells count="4">
    <mergeCell ref="A1:I1"/>
    <mergeCell ref="A69:I69"/>
    <mergeCell ref="A76:I76"/>
    <mergeCell ref="A83:I83"/>
  </mergeCells>
  <phoneticPr fontId="1" type="noConversion"/>
  <pageMargins left="0.7" right="0.7" top="0.75" bottom="0.75" header="0.3" footer="0.3"/>
  <ignoredErrors>
    <ignoredError sqref="B71:B74 B85:F85 B84:D84 C71:C73" formulaRange="1"/>
    <ignoredError sqref="E84:F84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Basilosauridae proportions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Asier Larramendi Eskorza</dc:creator>
  <cp:lastModifiedBy>Asier Larramendi Eskorza</cp:lastModifiedBy>
  <dcterms:created xsi:type="dcterms:W3CDTF">2024-07-03T09:04:09Z</dcterms:created>
  <dcterms:modified xsi:type="dcterms:W3CDTF">2024-11-05T09:55:00Z</dcterms:modified>
</cp:coreProperties>
</file>